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iaCTR\Desktop\CHARQUEADAS\LIMPEZA_URBANA_FINAL.24032023\"/>
    </mc:Choice>
  </mc:AlternateContent>
  <bookViews>
    <workbookView xWindow="0" yWindow="0" windowWidth="20736" windowHeight="9396" tabRatio="873" activeTab="1"/>
  </bookViews>
  <sheets>
    <sheet name="LEGENDA" sheetId="4" r:id="rId1"/>
    <sheet name="CUSTOS" sheetId="1" r:id="rId2"/>
    <sheet name="BDI" sheetId="6" r:id="rId3"/>
    <sheet name="ORÇAMENTOS" sheetId="3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7" i="1" l="1"/>
  <c r="G186" i="1"/>
  <c r="G132" i="1"/>
  <c r="D132" i="1"/>
  <c r="D141" i="1"/>
  <c r="D137" i="1"/>
  <c r="D136" i="1"/>
  <c r="D133" i="1"/>
  <c r="G238" i="1" l="1"/>
  <c r="G236" i="1"/>
  <c r="G230" i="1"/>
  <c r="G223" i="1"/>
  <c r="E195" i="1"/>
  <c r="G195" i="1"/>
  <c r="G180" i="1"/>
  <c r="G162" i="1"/>
  <c r="G155" i="1"/>
  <c r="G151" i="1"/>
  <c r="G110" i="1"/>
  <c r="G108" i="1"/>
  <c r="G103" i="1"/>
  <c r="G100" i="1"/>
  <c r="G92" i="1"/>
  <c r="G81" i="1"/>
  <c r="G89" i="1" s="1"/>
  <c r="G80" i="1"/>
  <c r="G88" i="1"/>
  <c r="E88" i="1"/>
  <c r="G18" i="1"/>
  <c r="G19" i="1" s="1"/>
  <c r="E20" i="1" s="1"/>
  <c r="G20" i="1" s="1"/>
  <c r="E21" i="1" l="1"/>
  <c r="E194" i="1"/>
  <c r="C88" i="1" l="1"/>
  <c r="C245" i="1" l="1"/>
  <c r="E107" i="1" l="1"/>
  <c r="E106" i="1"/>
  <c r="E105" i="1"/>
  <c r="E104" i="1"/>
  <c r="E103" i="1"/>
  <c r="C107" i="1"/>
  <c r="C106" i="1"/>
  <c r="C105" i="1"/>
  <c r="C104" i="1"/>
  <c r="C103" i="1"/>
  <c r="G106" i="1" l="1"/>
  <c r="G107" i="1"/>
  <c r="G105" i="1"/>
  <c r="G104" i="1"/>
  <c r="E93" i="1" l="1"/>
  <c r="E94" i="1"/>
  <c r="E95" i="1"/>
  <c r="E96" i="1"/>
  <c r="E97" i="1"/>
  <c r="E98" i="1"/>
  <c r="E99" i="1"/>
  <c r="E92" i="1"/>
  <c r="F92" i="1" s="1"/>
  <c r="C99" i="1"/>
  <c r="C98" i="1"/>
  <c r="C97" i="1"/>
  <c r="C96" i="1"/>
  <c r="C95" i="1"/>
  <c r="C94" i="1"/>
  <c r="C93" i="1"/>
  <c r="C92" i="1"/>
  <c r="C87" i="1"/>
  <c r="C86" i="1"/>
  <c r="C85" i="1"/>
  <c r="C84" i="1"/>
  <c r="C83" i="1"/>
  <c r="C82" i="1"/>
  <c r="C81" i="1"/>
  <c r="C80" i="1"/>
  <c r="E78" i="1"/>
  <c r="G60" i="1" l="1"/>
  <c r="G54" i="1"/>
  <c r="G24" i="1"/>
  <c r="F93" i="1" l="1"/>
  <c r="F98" i="1"/>
  <c r="G98" i="1" s="1"/>
  <c r="E86" i="1"/>
  <c r="G86" i="1" s="1"/>
  <c r="F99" i="1"/>
  <c r="E87" i="1"/>
  <c r="G87" i="1" s="1"/>
  <c r="G55" i="1"/>
  <c r="E56" i="1" s="1"/>
  <c r="G56" i="1" s="1"/>
  <c r="E57" i="1" s="1"/>
  <c r="G25" i="1"/>
  <c r="E26" i="1" s="1"/>
  <c r="G26" i="1" s="1"/>
  <c r="G61" i="1"/>
  <c r="E62" i="1" s="1"/>
  <c r="G62" i="1" s="1"/>
  <c r="G99" i="1"/>
  <c r="E81" i="1"/>
  <c r="G93" i="1"/>
  <c r="L4" i="3"/>
  <c r="L5" i="3" s="1"/>
  <c r="E63" i="1" l="1"/>
  <c r="E27" i="1"/>
  <c r="G27" i="1" s="1"/>
  <c r="C227" i="1" l="1"/>
  <c r="G229" i="1" l="1"/>
  <c r="C116" i="1" l="1"/>
  <c r="C117" i="1"/>
  <c r="C121" i="1"/>
  <c r="C122" i="1"/>
  <c r="C126" i="1"/>
  <c r="C127" i="1"/>
  <c r="C128" i="1"/>
  <c r="G71" i="1"/>
  <c r="E71" i="1" l="1"/>
  <c r="G72" i="1"/>
  <c r="E54" i="1"/>
  <c r="G57" i="1"/>
  <c r="E73" i="1" l="1"/>
  <c r="G73" i="1" s="1"/>
  <c r="E75" i="1" s="1"/>
  <c r="G75" i="1" s="1"/>
  <c r="G48" i="1"/>
  <c r="G42" i="1"/>
  <c r="G36" i="1"/>
  <c r="F95" i="1" s="1"/>
  <c r="G30" i="1"/>
  <c r="C233" i="1"/>
  <c r="F97" i="1" l="1"/>
  <c r="E85" i="1"/>
  <c r="G85" i="1" s="1"/>
  <c r="F96" i="1"/>
  <c r="E84" i="1"/>
  <c r="G84" i="1" s="1"/>
  <c r="E32" i="1"/>
  <c r="G31" i="1"/>
  <c r="G37" i="1"/>
  <c r="E38" i="1" s="1"/>
  <c r="G38" i="1" s="1"/>
  <c r="G49" i="1"/>
  <c r="E50" i="1" s="1"/>
  <c r="G50" i="1" s="1"/>
  <c r="G43" i="1"/>
  <c r="E44" i="1" s="1"/>
  <c r="G44" i="1" s="1"/>
  <c r="E83" i="1"/>
  <c r="G83" i="1" s="1"/>
  <c r="G96" i="1"/>
  <c r="E80" i="1"/>
  <c r="G97" i="1"/>
  <c r="E82" i="1"/>
  <c r="G82" i="1" s="1"/>
  <c r="G95" i="1"/>
  <c r="F94" i="1"/>
  <c r="G94" i="1" s="1"/>
  <c r="C235" i="1"/>
  <c r="C234" i="1"/>
  <c r="F116" i="3"/>
  <c r="E228" i="1" s="1"/>
  <c r="G228" i="1" s="1"/>
  <c r="E51" i="1" l="1"/>
  <c r="E45" i="1"/>
  <c r="G51" i="1"/>
  <c r="E39" i="1"/>
  <c r="G39" i="1" s="1"/>
  <c r="G32" i="1"/>
  <c r="E33" i="1" s="1"/>
  <c r="G33" i="1" s="1"/>
  <c r="C221" i="1"/>
  <c r="C222" i="1"/>
  <c r="C8" i="6" l="1"/>
  <c r="C7" i="6"/>
  <c r="F6" i="6"/>
  <c r="E6" i="6"/>
  <c r="C6" i="6" s="1"/>
  <c r="D6" i="6"/>
  <c r="C5" i="6"/>
  <c r="C13" i="6" l="1"/>
  <c r="C179" i="1"/>
  <c r="C176" i="1"/>
  <c r="C173" i="1"/>
  <c r="C170" i="1"/>
  <c r="C167" i="1"/>
  <c r="E160" i="1"/>
  <c r="E161" i="1"/>
  <c r="E158" i="1"/>
  <c r="C132" i="1" l="1"/>
  <c r="E24" i="1" l="1"/>
  <c r="E191" i="1"/>
  <c r="F80" i="3"/>
  <c r="E183" i="1" s="1"/>
  <c r="C161" i="1"/>
  <c r="C160" i="1"/>
  <c r="C159" i="1"/>
  <c r="C158" i="1"/>
  <c r="F120" i="3"/>
  <c r="E234" i="1" s="1"/>
  <c r="F121" i="3"/>
  <c r="E235" i="1" s="1"/>
  <c r="F119" i="3"/>
  <c r="E233" i="1" s="1"/>
  <c r="F115" i="3"/>
  <c r="E227" i="1" s="1"/>
  <c r="G227" i="1" s="1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8" i="3"/>
  <c r="E132" i="1" s="1"/>
  <c r="F49" i="3"/>
  <c r="E133" i="1" s="1"/>
  <c r="F50" i="3"/>
  <c r="E134" i="1" s="1"/>
  <c r="F51" i="3"/>
  <c r="E135" i="1" s="1"/>
  <c r="F52" i="3"/>
  <c r="E136" i="1" s="1"/>
  <c r="F53" i="3"/>
  <c r="E137" i="1" s="1"/>
  <c r="F54" i="3"/>
  <c r="E138" i="1" s="1"/>
  <c r="F55" i="3"/>
  <c r="E139" i="1" s="1"/>
  <c r="F56" i="3"/>
  <c r="E140" i="1" s="1"/>
  <c r="F57" i="3"/>
  <c r="E141" i="1" s="1"/>
  <c r="F61" i="3"/>
  <c r="F72" i="3"/>
  <c r="E165" i="1" s="1"/>
  <c r="G167" i="1" s="1"/>
  <c r="D73" i="3"/>
  <c r="E73" i="3"/>
  <c r="C74" i="3"/>
  <c r="D74" i="3"/>
  <c r="C75" i="3"/>
  <c r="D75" i="3"/>
  <c r="F76" i="3"/>
  <c r="E177" i="1" s="1"/>
  <c r="F81" i="3"/>
  <c r="E184" i="1" s="1"/>
  <c r="F82" i="3"/>
  <c r="E185" i="1" s="1"/>
  <c r="F86" i="3"/>
  <c r="E189" i="1" s="1"/>
  <c r="F87" i="3"/>
  <c r="E190" i="1" s="1"/>
  <c r="F88" i="3"/>
  <c r="F92" i="3"/>
  <c r="E203" i="1" s="1"/>
  <c r="F93" i="3"/>
  <c r="E204" i="1" s="1"/>
  <c r="F94" i="3"/>
  <c r="E205" i="1" s="1"/>
  <c r="F95" i="3"/>
  <c r="E206" i="1" s="1"/>
  <c r="F96" i="3"/>
  <c r="E207" i="1" s="1"/>
  <c r="F97" i="3"/>
  <c r="E208" i="1" s="1"/>
  <c r="F98" i="3"/>
  <c r="E209" i="1" s="1"/>
  <c r="F99" i="3"/>
  <c r="E210" i="1" s="1"/>
  <c r="F100" i="3"/>
  <c r="E211" i="1" s="1"/>
  <c r="F101" i="3"/>
  <c r="E212" i="1" s="1"/>
  <c r="G212" i="1" s="1"/>
  <c r="F102" i="3"/>
  <c r="E213" i="1" s="1"/>
  <c r="F103" i="3"/>
  <c r="E214" i="1" s="1"/>
  <c r="F104" i="3"/>
  <c r="E215" i="1" s="1"/>
  <c r="F105" i="3"/>
  <c r="E216" i="1" s="1"/>
  <c r="F106" i="3"/>
  <c r="E217" i="1" s="1"/>
  <c r="F107" i="3"/>
  <c r="E218" i="1" s="1"/>
  <c r="F108" i="3"/>
  <c r="E219" i="1" s="1"/>
  <c r="F109" i="3"/>
  <c r="E220" i="1" s="1"/>
  <c r="F110" i="3"/>
  <c r="E221" i="1" s="1"/>
  <c r="F111" i="3"/>
  <c r="E222" i="1" s="1"/>
  <c r="F75" i="3" l="1"/>
  <c r="E174" i="1" s="1"/>
  <c r="G150" i="1"/>
  <c r="C66" i="3"/>
  <c r="E159" i="1" s="1"/>
  <c r="F73" i="3"/>
  <c r="E168" i="1" s="1"/>
  <c r="F74" i="3"/>
  <c r="E171" i="1" s="1"/>
  <c r="G66" i="1" l="1"/>
  <c r="E68" i="1" l="1"/>
  <c r="E67" i="1"/>
  <c r="G67" i="1" s="1"/>
  <c r="E66" i="1"/>
  <c r="E150" i="1"/>
  <c r="E60" i="1" l="1"/>
  <c r="G45" i="1"/>
  <c r="E42" i="1"/>
  <c r="E36" i="1"/>
  <c r="G63" i="1" l="1"/>
  <c r="G235" i="1"/>
  <c r="G222" i="1" l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128" i="1"/>
  <c r="G127" i="1"/>
  <c r="C141" i="1"/>
  <c r="G141" i="1" s="1"/>
  <c r="C140" i="1"/>
  <c r="G140" i="1" s="1"/>
  <c r="C139" i="1"/>
  <c r="G139" i="1" s="1"/>
  <c r="C138" i="1"/>
  <c r="G138" i="1" s="1"/>
  <c r="C137" i="1"/>
  <c r="G137" i="1" s="1"/>
  <c r="C136" i="1"/>
  <c r="G136" i="1" s="1"/>
  <c r="C135" i="1"/>
  <c r="G135" i="1" s="1"/>
  <c r="C134" i="1"/>
  <c r="G134" i="1" s="1"/>
  <c r="C133" i="1"/>
  <c r="G133" i="1" s="1"/>
  <c r="G191" i="1"/>
  <c r="G190" i="1"/>
  <c r="G189" i="1"/>
  <c r="G185" i="1"/>
  <c r="G184" i="1"/>
  <c r="G234" i="1"/>
  <c r="G233" i="1"/>
  <c r="G179" i="1"/>
  <c r="G176" i="1"/>
  <c r="G173" i="1"/>
  <c r="G170" i="1"/>
  <c r="G161" i="1"/>
  <c r="G160" i="1"/>
  <c r="G158" i="1"/>
  <c r="E48" i="1"/>
  <c r="E30" i="1"/>
  <c r="G21" i="1"/>
  <c r="E18" i="1"/>
  <c r="G142" i="1" l="1"/>
  <c r="G68" i="1"/>
  <c r="E192" i="1"/>
  <c r="G192" i="1" s="1"/>
  <c r="G193" i="1" s="1"/>
  <c r="E154" i="1"/>
  <c r="G194" i="1"/>
  <c r="B10" i="1" l="1"/>
  <c r="G154" i="1"/>
  <c r="G159" i="1" l="1"/>
  <c r="E122" i="1" l="1"/>
  <c r="E117" i="1"/>
  <c r="E116" i="1"/>
  <c r="E120" i="1"/>
  <c r="E119" i="1"/>
  <c r="E121" i="1"/>
  <c r="E126" i="1"/>
  <c r="E125" i="1"/>
  <c r="E124" i="1"/>
  <c r="E123" i="1"/>
  <c r="E118" i="1"/>
  <c r="G125" i="1" l="1"/>
  <c r="G126" i="1"/>
  <c r="G116" i="1"/>
  <c r="G120" i="1"/>
  <c r="G118" i="1"/>
  <c r="G123" i="1"/>
  <c r="G121" i="1"/>
  <c r="G117" i="1"/>
  <c r="G124" i="1"/>
  <c r="G119" i="1"/>
  <c r="G122" i="1"/>
  <c r="G129" i="1" l="1"/>
  <c r="G183" i="1"/>
  <c r="G144" i="1" l="1"/>
  <c r="G241" i="1" s="1"/>
  <c r="E245" i="1" s="1"/>
  <c r="G245" i="1" s="1"/>
  <c r="G246" i="1" s="1"/>
  <c r="B9" i="1"/>
  <c r="B7" i="1"/>
  <c r="B8" i="1" l="1"/>
  <c r="G248" i="1"/>
  <c r="B11" i="1"/>
  <c r="B12" i="1" l="1"/>
  <c r="C11" i="1" s="1"/>
  <c r="C8" i="1" l="1"/>
  <c r="C9" i="1"/>
  <c r="C10" i="1"/>
  <c r="C7" i="1"/>
</calcChain>
</file>

<file path=xl/comments1.xml><?xml version="1.0" encoding="utf-8"?>
<comments xmlns="http://schemas.openxmlformats.org/spreadsheetml/2006/main">
  <authors>
    <author>Clauber Bridi</author>
  </authors>
  <commentList>
    <comment ref="D86" authorId="0" shape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D88" authorId="0" shape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sharedStrings.xml><?xml version="1.0" encoding="utf-8"?>
<sst xmlns="http://schemas.openxmlformats.org/spreadsheetml/2006/main" count="722" uniqueCount="250">
  <si>
    <t>PLANILHA DE CUSTOS DE LIMPEZA URBANA</t>
  </si>
  <si>
    <t>SÍNTESE DE CUSTOS</t>
  </si>
  <si>
    <t>ITEM</t>
  </si>
  <si>
    <t>CUSTO (R$/mês)</t>
  </si>
  <si>
    <t>PORCENTAGEM (%)</t>
  </si>
  <si>
    <t>1. Mão-de-obra</t>
  </si>
  <si>
    <t>2. Uniformes e Equipamentos de Proteção Individual</t>
  </si>
  <si>
    <t>3. Veículo</t>
  </si>
  <si>
    <t>4. Equipamentos, Máquinas, Ferramentas e Insumos</t>
  </si>
  <si>
    <t>5. Benefícios e Despesas Indiretas - BDI</t>
  </si>
  <si>
    <t>6 Custo total mensal da limpeza urbana</t>
  </si>
  <si>
    <t>1. MÃO DE OBRA</t>
  </si>
  <si>
    <t>UNIDADE</t>
  </si>
  <si>
    <t>QUANTIDADE</t>
  </si>
  <si>
    <t>PREÇO UNITÁRIO</t>
  </si>
  <si>
    <t>TOTAL</t>
  </si>
  <si>
    <t>Salário mensal</t>
  </si>
  <si>
    <t>hora</t>
  </si>
  <si>
    <t>Adicional de insalubridade</t>
  </si>
  <si>
    <t>unidade</t>
  </si>
  <si>
    <t>-</t>
  </si>
  <si>
    <t>Encargos sociais</t>
  </si>
  <si>
    <t>CUSTO TOTAL MENSAL</t>
  </si>
  <si>
    <t>homem</t>
  </si>
  <si>
    <t>DESPESA MENSAL COM MÃO DE OBRA</t>
  </si>
  <si>
    <t>2 UNIFORMES E EQUIPAMENTOS DE PROTEÇÃO INDIVIDUAL</t>
  </si>
  <si>
    <t>Boné</t>
  </si>
  <si>
    <t>Calça de brim operacional</t>
  </si>
  <si>
    <t>Camiseta de algodão</t>
  </si>
  <si>
    <t xml:space="preserve">Capa de chuva </t>
  </si>
  <si>
    <t>Colete reflexivo</t>
  </si>
  <si>
    <t>Jaqueta forrada</t>
  </si>
  <si>
    <t>Protetor solar FPS 30 - 200ml</t>
  </si>
  <si>
    <t>CUSTO TOTAL ANUAL</t>
  </si>
  <si>
    <t>Higienização do boné</t>
  </si>
  <si>
    <t>Higienização da bota de borracha cano médio</t>
  </si>
  <si>
    <t>Higienização da calça de brim operacional</t>
  </si>
  <si>
    <t>Higienização da camiseta de algodão</t>
  </si>
  <si>
    <t xml:space="preserve">Higienização da capa de chuva </t>
  </si>
  <si>
    <t>Higienização do colete reflexivo</t>
  </si>
  <si>
    <t>Higienização da jaqueta forrada</t>
  </si>
  <si>
    <t xml:space="preserve">Higienização das meias de algodão </t>
  </si>
  <si>
    <t>Higienização das luvas</t>
  </si>
  <si>
    <t>DESPESA MENSAL COM UNIFORMES E EPIS</t>
  </si>
  <si>
    <t>Ancinho</t>
  </si>
  <si>
    <t>Contentor com rodas e pedal com capacidade para 120 litros</t>
  </si>
  <si>
    <t>Vassoura</t>
  </si>
  <si>
    <t>Vassourão</t>
  </si>
  <si>
    <t>Pás</t>
  </si>
  <si>
    <t>CUSTO TOTAL COM INSUMOS</t>
  </si>
  <si>
    <t>DESPESA TOTAL BRUTA</t>
  </si>
  <si>
    <t>BDI</t>
  </si>
  <si>
    <t>%</t>
  </si>
  <si>
    <t>CUSTO TOTAL COM BDI</t>
  </si>
  <si>
    <t>DESPESA TOTAL BRUTA MENSAL</t>
  </si>
  <si>
    <t>Bota de borracha cano médio</t>
  </si>
  <si>
    <t>Luva de proteção</t>
  </si>
  <si>
    <t>Meias de algodão</t>
  </si>
  <si>
    <t>Óculos de proteção</t>
  </si>
  <si>
    <t>3 VEÍCULO</t>
  </si>
  <si>
    <t xml:space="preserve">Licenciamento do veículo </t>
  </si>
  <si>
    <t>IPVA do veículo</t>
  </si>
  <si>
    <t>Seguro obrigatório</t>
  </si>
  <si>
    <t>Seguro contra terceiros</t>
  </si>
  <si>
    <t>CUSTO TOTAL MENSAL DE IMPOSTOS E SEGURO</t>
  </si>
  <si>
    <t>Valor do óleo diesel</t>
  </si>
  <si>
    <t>litro</t>
  </si>
  <si>
    <t>km</t>
  </si>
  <si>
    <t>km/L</t>
  </si>
  <si>
    <t>Valor do óleo motor</t>
  </si>
  <si>
    <t>Valor do óleo de transmissão</t>
  </si>
  <si>
    <t>Valor do óleo hidraúlico</t>
  </si>
  <si>
    <t>Valor da graxa</t>
  </si>
  <si>
    <t xml:space="preserve">CUSTO TOTAL DE MATERIAIS DE CONSUMO DO VEÍCULO </t>
  </si>
  <si>
    <t>Recipiente térmico para água (5L)</t>
  </si>
  <si>
    <t>Cones</t>
  </si>
  <si>
    <t>Placa de sinalização</t>
  </si>
  <si>
    <t>Publicidade (adesivos equipamentos)</t>
  </si>
  <si>
    <t>cj</t>
  </si>
  <si>
    <t>Publicidade (adesivos veículos)</t>
  </si>
  <si>
    <t>CUSTO TOTAL DE FERRAMENTAS E MATERIAIS DE CONSUMO</t>
  </si>
  <si>
    <t>3.5 CONJUNTO DE RODAGEM</t>
  </si>
  <si>
    <t>Valor do jogo de protetor de pneu</t>
  </si>
  <si>
    <t>Custo do jogo por Km rodado</t>
  </si>
  <si>
    <t xml:space="preserve">Quilometragem mensal </t>
  </si>
  <si>
    <t>Custo de manutenção</t>
  </si>
  <si>
    <t>R$/km rodado</t>
  </si>
  <si>
    <t>CUSTO MENSAL COM CONJUNTO DE RODAGEM E MANUTENÇÃO</t>
  </si>
  <si>
    <t>DESPESA MENSAL COM O VEÍCULO</t>
  </si>
  <si>
    <t>Broxas ou pinceis grande</t>
  </si>
  <si>
    <t>Caçambas para tinta com capacidade de 10 litros</t>
  </si>
  <si>
    <t>Carrinhos de mão</t>
  </si>
  <si>
    <t>Enxadão/picão</t>
  </si>
  <si>
    <t>Enxadas tamanho médio</t>
  </si>
  <si>
    <t>Foice</t>
  </si>
  <si>
    <t>Moto poda de potência mínima de 1.4 Kw</t>
  </si>
  <si>
    <t>Motosserra (cilindrada 72,2 cm³, potência 3,9 Kw, rotação lenta 2400 RPM, rotação máxima 12500 RPM, lâmina 50 cm) devidamente licenciada perante o IBAMA</t>
  </si>
  <si>
    <t>Pás de concha</t>
  </si>
  <si>
    <t>Pás de corte</t>
  </si>
  <si>
    <t>Podador de cerca viva a gasolina (cilindrada 22,7 cm³, potência 0,7 Kw, rotação lenta 2800 RPM, rotação máxima 9100 RPM)</t>
  </si>
  <si>
    <t>Rastelo</t>
  </si>
  <si>
    <t>Rede de proteção para corte de grama – 3m</t>
  </si>
  <si>
    <t>Roçadeiras de grama costal a gasolina (cilindrada 35,2 cm³, potência 1,7 Kw, rotação lenta 2800 RPM, rotação máxima 12500 RPM)</t>
  </si>
  <si>
    <t>Vassoura de piaçava</t>
  </si>
  <si>
    <t>4.2 INSUMOS</t>
  </si>
  <si>
    <t>5 BDI</t>
  </si>
  <si>
    <t>Protetor auditivo tipo concha</t>
  </si>
  <si>
    <t>Avental e perneira</t>
  </si>
  <si>
    <t>N° FUNC.</t>
  </si>
  <si>
    <t>QNT/ANO</t>
  </si>
  <si>
    <t>Higienização do avental e perneira</t>
  </si>
  <si>
    <t>CUSTO TOTAL DE AQUISIÇÃO</t>
  </si>
  <si>
    <t>CUSTO TOTAL MENSAL DE DEPRECIAÇÃO</t>
  </si>
  <si>
    <t>3.1 AQUISIÇÃO DO VEÍCULO</t>
  </si>
  <si>
    <t xml:space="preserve">3.2 DEPRECIAÇÃO DO VEÍCULO </t>
  </si>
  <si>
    <t>3.3 IMPOSTOS E SEGUROS DO VEÍCULO</t>
  </si>
  <si>
    <t xml:space="preserve">3.3 MATERIAIS DE CONSUMO DO VEÍCULO </t>
  </si>
  <si>
    <t>3.4 FERRAMENTAS E MATERIAIS DE CONSUMO DO VEÍCULO</t>
  </si>
  <si>
    <t>4 EQUIPAMENTOS</t>
  </si>
  <si>
    <t>4.1 EQUIPAMENTOS E FERRAMENTAS</t>
  </si>
  <si>
    <t>CUSTO TOTAL DE EQUIPAMENTOS E FERRAMENTAS</t>
  </si>
  <si>
    <t xml:space="preserve">Sinalizadores luminosos </t>
  </si>
  <si>
    <t>4.3 EQUIPAMENTOS DE PROTEÇÃO COLETIVA</t>
  </si>
  <si>
    <t>CUSTO TOTAL COM EPCs</t>
  </si>
  <si>
    <t>1.6 SOLDADOR</t>
  </si>
  <si>
    <t>LEVANTAMENTO DE PREÇOS DE EQUIPAMENTOS E MATERIAIS</t>
  </si>
  <si>
    <t>UNIFORMES E EPIs</t>
  </si>
  <si>
    <t>PREÇO UNITÁRIO 1</t>
  </si>
  <si>
    <t>PREÇO UNITÁRIO 2</t>
  </si>
  <si>
    <t>PREÇO UNITÁRIO 3</t>
  </si>
  <si>
    <t>MÉDIA</t>
  </si>
  <si>
    <t>CARGO</t>
  </si>
  <si>
    <t>SALÁRIO</t>
  </si>
  <si>
    <t>CONVENÇÃO</t>
  </si>
  <si>
    <t>https://sindirodosul.org.br/website2017/wp-content/uploads/2017/02/Conven%C3%A7%C3%A3o-Locadoras-2021-2022-REGISTRADA.pdf</t>
  </si>
  <si>
    <t>HIGIENIZAÇÃO DE UNIFORMES E EPIS</t>
  </si>
  <si>
    <t>Higienização de avental e perneira</t>
  </si>
  <si>
    <t>Higienização de boné</t>
  </si>
  <si>
    <t>Higienização de calça de brim operacional</t>
  </si>
  <si>
    <t>Higienização de bota de borracha cano médio</t>
  </si>
  <si>
    <t>Higienização de camiseta de algodão</t>
  </si>
  <si>
    <t xml:space="preserve">Higienização de capa de chuva </t>
  </si>
  <si>
    <t>Higienização de colete reflexivo</t>
  </si>
  <si>
    <t>Higienização de jaqueta forrada</t>
  </si>
  <si>
    <t>Higienização de luva de proteção</t>
  </si>
  <si>
    <t>Higienização de meias de algodão</t>
  </si>
  <si>
    <t>VEÍCULO DE TRANSPORTE</t>
  </si>
  <si>
    <t xml:space="preserve">Custo de aquisição </t>
  </si>
  <si>
    <t>Custo de aquisição</t>
  </si>
  <si>
    <t>Depreciação do veículo  (120 meses)</t>
  </si>
  <si>
    <t>IMPOSTOS E SEGUROS DO VEÍCULO</t>
  </si>
  <si>
    <t>MATERIAIS DE CONSUMO DOS VEÍCULOS</t>
  </si>
  <si>
    <t>Valor do óleo de motor</t>
  </si>
  <si>
    <t>FERRAMENTAS E MATERIAIS DE CONSUMO</t>
  </si>
  <si>
    <t>CONJUNTO DE RODAGEM</t>
  </si>
  <si>
    <t>Valor de 06  pneus (jogo de pneus)</t>
  </si>
  <si>
    <t>Valor  de 06 câmaras aro 22.5 (jogo de câmara)</t>
  </si>
  <si>
    <t>EQUIPAMENTOS E FERRAMENTAS</t>
  </si>
  <si>
    <t>Motosserra</t>
  </si>
  <si>
    <t>Podador de cerca viva a gasolina</t>
  </si>
  <si>
    <t>Roçadeiras de grama costal a gasolina</t>
  </si>
  <si>
    <t>Contentor com rodas e pedal - 120 litros</t>
  </si>
  <si>
    <t>INSUMOS</t>
  </si>
  <si>
    <t>EQUIPAMENTOS DE PROTEÇÃO COLETIVA</t>
  </si>
  <si>
    <t>Dados de entrada</t>
  </si>
  <si>
    <t>Dados secundários</t>
  </si>
  <si>
    <t>Importado de planilha suporte</t>
  </si>
  <si>
    <t xml:space="preserve">Resultado </t>
  </si>
  <si>
    <t>Resultado final</t>
  </si>
  <si>
    <t>LEGENDA</t>
  </si>
  <si>
    <t>PASSAGEM DE ONIBUS</t>
  </si>
  <si>
    <t>MÃO DE OBRA - COMPLEMENTARES</t>
  </si>
  <si>
    <t>CUSTO</t>
  </si>
  <si>
    <t>Resultado do item</t>
  </si>
  <si>
    <t>DESPESA TOTAL MENSAL</t>
  </si>
  <si>
    <t>1.1 AUXILIARES - capina</t>
  </si>
  <si>
    <t>1.2 AUXILIARES - limpeza de banheiros</t>
  </si>
  <si>
    <t>1.3 SERVENTES - varredores</t>
  </si>
  <si>
    <t>1.5 OPERADOR DE MOTO SERRA</t>
  </si>
  <si>
    <t>litros</t>
  </si>
  <si>
    <t>1.7 PINTOR E SERVIÇOS GERAIS</t>
  </si>
  <si>
    <t>1.8 MOTORISTA</t>
  </si>
  <si>
    <t>1.9 GERENTE OPERACIONAL</t>
  </si>
  <si>
    <t xml:space="preserve">                                   </t>
  </si>
  <si>
    <t>Despesa mensal com óleo diesel considerando que a autonomia média da frota é de 10 km/L para van</t>
  </si>
  <si>
    <t>Despesa mensal com óleo motor considerando que é consumido 1L de óleo para cada 5.000 km para van</t>
  </si>
  <si>
    <t>Despesa mensal com óleo de transmissão considerando que é consumido 1L de óleo para cada 5.000 km para van</t>
  </si>
  <si>
    <t>Despesa mensal com óleo hidraúlico considerando que é consumido 1L de óleo para cada 5.000 km para van</t>
  </si>
  <si>
    <t>Despesa mensal com graxa considerando que é consumido 1kg de graxa para cada 5.000 km para van</t>
  </si>
  <si>
    <t>Valor de 04  pneus (jogo de pneus)</t>
  </si>
  <si>
    <t>Valor  de 04 câmaras aro 20 (jogo de câmara)</t>
  </si>
  <si>
    <t>van</t>
  </si>
  <si>
    <t>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</si>
  <si>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</si>
  <si>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</si>
  <si>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</si>
  <si>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</si>
  <si>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</si>
  <si>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</si>
  <si>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</si>
  <si>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</si>
  <si>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</si>
  <si>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</si>
  <si>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</si>
  <si>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</si>
  <si>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</si>
  <si>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</si>
  <si>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</si>
  <si>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</si>
  <si>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</si>
  <si>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</si>
  <si>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</si>
  <si>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</si>
  <si>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2.1.AQUISIÇÃO DE UNIFORMES E EPIS</t>
  </si>
  <si>
    <t>2.2 HIGIENIZAÇÃO DE UNIFORMES E EPIS</t>
  </si>
  <si>
    <t>Gasolina para os equipamentos</t>
  </si>
  <si>
    <t>Oleo Stihl 2 Tempos 500ml</t>
  </si>
  <si>
    <t>frascos</t>
  </si>
  <si>
    <t>Salário base mensal (220 horas)</t>
  </si>
  <si>
    <t>1.10 TÉCNICO DE SEGURANÇA DO TRABALHO</t>
  </si>
  <si>
    <t>sacos</t>
  </si>
  <si>
    <t>Sacos de lixo (100 litros)</t>
  </si>
  <si>
    <t>1.4 ROÇADORES</t>
  </si>
  <si>
    <t>http://seeac-rs.com.br/arquivos/2023.pdf</t>
  </si>
  <si>
    <t>http://www.sinditestrs.org.br/strs/legislacao/b9405210db4643c28fe60593610a0681.pdf</t>
  </si>
  <si>
    <t>Vale Transporte</t>
  </si>
  <si>
    <t>R$</t>
  </si>
  <si>
    <t>Dias Trabalhados por mês</t>
  </si>
  <si>
    <t>dia</t>
  </si>
  <si>
    <t>vale</t>
  </si>
  <si>
    <t>Motorista</t>
  </si>
  <si>
    <t>1.11 VALE TRANSPORTE</t>
  </si>
  <si>
    <t>Auxiliares - capina</t>
  </si>
  <si>
    <t>Auxiliares - limpeza de banheiros</t>
  </si>
  <si>
    <t>Serventes - varredores</t>
  </si>
  <si>
    <t>Roçadores</t>
  </si>
  <si>
    <t>Operador de motosserra</t>
  </si>
  <si>
    <t>Soldador</t>
  </si>
  <si>
    <t>Pintor e serviços gerais</t>
  </si>
  <si>
    <t>Técnico de segurança do trabalho</t>
  </si>
  <si>
    <t>CUSTO TOTAL MENSAL COM VALE TRANSPORTE</t>
  </si>
  <si>
    <t>1.12 VALE REFEIÇÃO (diário)</t>
  </si>
  <si>
    <t xml:space="preserve">PREÇO </t>
  </si>
  <si>
    <t>UNITÁRIO</t>
  </si>
  <si>
    <t>CUSTO TOTAL MENSAL COM VALE REFEIÇÃO</t>
  </si>
  <si>
    <t>1.13 BENEFÍCIO SOCIAL FAMILIAR (mensal)</t>
  </si>
  <si>
    <t>CUSTO TOTAL MENSAL BENEFÍCIO SOCIAL FAMILIAR</t>
  </si>
  <si>
    <t>https://www.salario.com.br/tabela-salarial/?cargos=O#listaSalarial</t>
  </si>
  <si>
    <t>fator de utilização</t>
  </si>
  <si>
    <t>1.5 OPERADOR DE MOTOSSERRA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</si>
</sst>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&quot;R$&quot;\ 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color rgb="FF202124"/>
      <name val="Arial"/>
      <family val="2"/>
    </font>
    <font>
      <sz val="7"/>
      <color rgb="FF22222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37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0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5" xfId="0" applyFont="1" applyFill="1" applyBorder="1" applyAlignment="1">
      <alignment horizontal="center" vertical="center"/>
    </xf>
    <xf numFmtId="164" fontId="3" fillId="3" borderId="10" xfId="0" applyNumberFormat="1" applyFont="1" applyFill="1" applyBorder="1"/>
    <xf numFmtId="0" fontId="3" fillId="0" borderId="12" xfId="0" applyFont="1" applyBorder="1" applyAlignment="1">
      <alignment horizontal="center" vertical="center"/>
    </xf>
    <xf numFmtId="164" fontId="3" fillId="3" borderId="14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/>
    <xf numFmtId="164" fontId="2" fillId="6" borderId="17" xfId="0" applyNumberFormat="1" applyFont="1" applyFill="1" applyBorder="1"/>
    <xf numFmtId="0" fontId="2" fillId="0" borderId="0" xfId="0" applyFont="1" applyFill="1" applyBorder="1" applyAlignment="1">
      <alignment horizontal="left"/>
    </xf>
    <xf numFmtId="164" fontId="3" fillId="3" borderId="1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/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2" fillId="2" borderId="15" xfId="0" applyFont="1" applyFill="1" applyBorder="1"/>
    <xf numFmtId="0" fontId="4" fillId="0" borderId="4" xfId="0" applyFont="1" applyBorder="1"/>
    <xf numFmtId="0" fontId="3" fillId="0" borderId="9" xfId="0" applyFont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3" fillId="0" borderId="7" xfId="0" applyFont="1" applyFill="1" applyBorder="1"/>
    <xf numFmtId="0" fontId="4" fillId="0" borderId="7" xfId="0" applyFont="1" applyFill="1" applyBorder="1"/>
    <xf numFmtId="0" fontId="2" fillId="2" borderId="22" xfId="0" applyFont="1" applyFill="1" applyBorder="1"/>
    <xf numFmtId="0" fontId="2" fillId="2" borderId="24" xfId="0" applyFont="1" applyFill="1" applyBorder="1" applyAlignment="1">
      <alignment horizontal="center" vertical="center"/>
    </xf>
    <xf numFmtId="0" fontId="4" fillId="0" borderId="7" xfId="0" applyFont="1" applyBorder="1"/>
    <xf numFmtId="164" fontId="2" fillId="2" borderId="17" xfId="0" applyNumberFormat="1" applyFont="1" applyFill="1" applyBorder="1" applyAlignment="1">
      <alignment horizontal="right" vertical="center"/>
    </xf>
    <xf numFmtId="0" fontId="3" fillId="0" borderId="0" xfId="0" applyFont="1" applyFill="1"/>
    <xf numFmtId="164" fontId="2" fillId="7" borderId="17" xfId="0" applyNumberFormat="1" applyFont="1" applyFill="1" applyBorder="1"/>
    <xf numFmtId="0" fontId="2" fillId="2" borderId="22" xfId="0" applyFont="1" applyFill="1" applyBorder="1" applyAlignment="1">
      <alignment horizontal="left" vertical="center"/>
    </xf>
    <xf numFmtId="0" fontId="3" fillId="0" borderId="25" xfId="0" applyFont="1" applyFill="1" applyBorder="1"/>
    <xf numFmtId="0" fontId="3" fillId="0" borderId="2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8" xfId="0" applyFont="1" applyBorder="1"/>
    <xf numFmtId="164" fontId="2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3" fillId="0" borderId="27" xfId="0" applyFont="1" applyBorder="1"/>
    <xf numFmtId="164" fontId="3" fillId="3" borderId="28" xfId="0" applyNumberFormat="1" applyFont="1" applyFill="1" applyBorder="1"/>
    <xf numFmtId="0" fontId="3" fillId="0" borderId="8" xfId="0" applyFont="1" applyBorder="1"/>
    <xf numFmtId="0" fontId="2" fillId="2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4" fillId="0" borderId="2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4" xfId="0" applyFont="1" applyFill="1" applyBorder="1"/>
    <xf numFmtId="164" fontId="3" fillId="3" borderId="6" xfId="0" applyNumberFormat="1" applyFont="1" applyFill="1" applyBorder="1"/>
    <xf numFmtId="0" fontId="3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right" vertical="center"/>
    </xf>
    <xf numFmtId="0" fontId="2" fillId="2" borderId="32" xfId="0" applyFont="1" applyFill="1" applyBorder="1" applyAlignment="1">
      <alignment horizontal="left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7" xfId="0" applyFont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/>
    <xf numFmtId="0" fontId="3" fillId="0" borderId="4" xfId="0" applyFont="1" applyFill="1" applyBorder="1" applyAlignment="1">
      <alignment wrapText="1"/>
    </xf>
    <xf numFmtId="164" fontId="3" fillId="0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164" fontId="3" fillId="0" borderId="29" xfId="0" applyNumberFormat="1" applyFont="1" applyFill="1" applyBorder="1" applyAlignment="1">
      <alignment horizontal="center"/>
    </xf>
    <xf numFmtId="0" fontId="2" fillId="9" borderId="1" xfId="0" applyFont="1" applyFill="1" applyBorder="1"/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2" fillId="9" borderId="1" xfId="0" applyFont="1" applyFill="1" applyBorder="1" applyAlignment="1"/>
    <xf numFmtId="0" fontId="3" fillId="0" borderId="45" xfId="0" applyFont="1" applyBorder="1"/>
    <xf numFmtId="0" fontId="3" fillId="0" borderId="27" xfId="0" applyFont="1" applyFill="1" applyBorder="1"/>
    <xf numFmtId="164" fontId="3" fillId="0" borderId="10" xfId="0" applyNumberFormat="1" applyFont="1" applyFill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164" fontId="3" fillId="0" borderId="29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7" fillId="0" borderId="8" xfId="0" applyFont="1" applyBorder="1"/>
    <xf numFmtId="0" fontId="0" fillId="5" borderId="48" xfId="0" applyFill="1" applyBorder="1"/>
    <xf numFmtId="0" fontId="0" fillId="3" borderId="48" xfId="0" applyFill="1" applyBorder="1"/>
    <xf numFmtId="0" fontId="0" fillId="8" borderId="48" xfId="0" applyFill="1" applyBorder="1"/>
    <xf numFmtId="0" fontId="0" fillId="4" borderId="49" xfId="0" applyFill="1" applyBorder="1"/>
    <xf numFmtId="0" fontId="8" fillId="0" borderId="48" xfId="0" applyFont="1" applyBorder="1"/>
    <xf numFmtId="0" fontId="2" fillId="2" borderId="22" xfId="0" applyFont="1" applyFill="1" applyBorder="1" applyAlignment="1">
      <alignment wrapText="1"/>
    </xf>
    <xf numFmtId="0" fontId="4" fillId="0" borderId="26" xfId="0" applyFont="1" applyFill="1" applyBorder="1" applyAlignment="1">
      <alignment horizontal="center" vertical="center"/>
    </xf>
    <xf numFmtId="164" fontId="3" fillId="8" borderId="28" xfId="0" applyNumberFormat="1" applyFont="1" applyFill="1" applyBorder="1"/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64" fontId="3" fillId="3" borderId="29" xfId="0" applyNumberFormat="1" applyFont="1" applyFill="1" applyBorder="1"/>
    <xf numFmtId="164" fontId="3" fillId="3" borderId="40" xfId="0" applyNumberFormat="1" applyFont="1" applyFill="1" applyBorder="1" applyAlignment="1">
      <alignment horizontal="right" vertical="center"/>
    </xf>
    <xf numFmtId="164" fontId="3" fillId="3" borderId="41" xfId="0" applyNumberFormat="1" applyFont="1" applyFill="1" applyBorder="1" applyAlignment="1">
      <alignment horizontal="right" vertical="center"/>
    </xf>
    <xf numFmtId="164" fontId="3" fillId="3" borderId="42" xfId="0" applyNumberFormat="1" applyFont="1" applyFill="1" applyBorder="1" applyAlignment="1">
      <alignment horizontal="right" vertical="center"/>
    </xf>
    <xf numFmtId="0" fontId="3" fillId="5" borderId="2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0" borderId="50" xfId="0" applyFont="1" applyBorder="1"/>
    <xf numFmtId="164" fontId="3" fillId="3" borderId="52" xfId="0" applyNumberFormat="1" applyFont="1" applyFill="1" applyBorder="1" applyAlignment="1">
      <alignment horizontal="right" vertical="center"/>
    </xf>
    <xf numFmtId="164" fontId="3" fillId="3" borderId="52" xfId="0" applyNumberFormat="1" applyFont="1" applyFill="1" applyBorder="1"/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11" xfId="0" applyFont="1" applyBorder="1"/>
    <xf numFmtId="0" fontId="0" fillId="10" borderId="43" xfId="0" applyFill="1" applyBorder="1"/>
    <xf numFmtId="0" fontId="0" fillId="6" borderId="49" xfId="0" applyFill="1" applyBorder="1"/>
    <xf numFmtId="0" fontId="2" fillId="10" borderId="19" xfId="0" applyFont="1" applyFill="1" applyBorder="1" applyAlignment="1"/>
    <xf numFmtId="0" fontId="2" fillId="10" borderId="20" xfId="0" applyFont="1" applyFill="1" applyBorder="1" applyAlignment="1"/>
    <xf numFmtId="164" fontId="5" fillId="10" borderId="21" xfId="0" applyNumberFormat="1" applyFont="1" applyFill="1" applyBorder="1" applyAlignment="1">
      <alignment horizontal="right"/>
    </xf>
    <xf numFmtId="0" fontId="2" fillId="10" borderId="15" xfId="0" applyFont="1" applyFill="1" applyBorder="1" applyAlignment="1"/>
    <xf numFmtId="0" fontId="2" fillId="10" borderId="16" xfId="0" applyFont="1" applyFill="1" applyBorder="1" applyAlignment="1"/>
    <xf numFmtId="0" fontId="3" fillId="0" borderId="11" xfId="0" applyFont="1" applyFill="1" applyBorder="1" applyAlignment="1">
      <alignment horizontal="left" vertical="center"/>
    </xf>
    <xf numFmtId="1" fontId="3" fillId="0" borderId="51" xfId="0" applyNumberFormat="1" applyFont="1" applyBorder="1" applyAlignment="1">
      <alignment horizontal="center" vertical="center"/>
    </xf>
    <xf numFmtId="164" fontId="5" fillId="10" borderId="17" xfId="0" applyNumberFormat="1" applyFont="1" applyFill="1" applyBorder="1" applyAlignment="1">
      <alignment horizontal="right"/>
    </xf>
    <xf numFmtId="164" fontId="2" fillId="10" borderId="3" xfId="0" applyNumberFormat="1" applyFont="1" applyFill="1" applyBorder="1" applyAlignment="1">
      <alignment horizontal="right" vertical="center"/>
    </xf>
    <xf numFmtId="164" fontId="2" fillId="10" borderId="17" xfId="0" applyNumberFormat="1" applyFont="1" applyFill="1" applyBorder="1" applyAlignment="1">
      <alignment horizontal="right" vertical="center"/>
    </xf>
    <xf numFmtId="0" fontId="2" fillId="10" borderId="15" xfId="0" applyFont="1" applyFill="1" applyBorder="1"/>
    <xf numFmtId="0" fontId="2" fillId="1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/>
    <xf numFmtId="16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164" fontId="2" fillId="11" borderId="2" xfId="0" applyNumberFormat="1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1" fontId="4" fillId="0" borderId="26" xfId="0" applyNumberFormat="1" applyFont="1" applyBorder="1" applyAlignment="1">
      <alignment horizontal="center" vertical="center"/>
    </xf>
    <xf numFmtId="164" fontId="2" fillId="10" borderId="21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39" xfId="0" applyFont="1" applyBorder="1"/>
    <xf numFmtId="0" fontId="4" fillId="0" borderId="0" xfId="0" applyFont="1" applyBorder="1"/>
    <xf numFmtId="9" fontId="4" fillId="0" borderId="7" xfId="1" applyFont="1" applyBorder="1"/>
    <xf numFmtId="9" fontId="4" fillId="0" borderId="5" xfId="1" applyFont="1" applyBorder="1" applyAlignment="1">
      <alignment horizontal="center"/>
    </xf>
    <xf numFmtId="9" fontId="4" fillId="0" borderId="10" xfId="1" applyFont="1" applyBorder="1"/>
    <xf numFmtId="0" fontId="4" fillId="0" borderId="27" xfId="0" applyFont="1" applyFill="1" applyBorder="1" applyAlignment="1">
      <alignment horizontal="left" vertical="center"/>
    </xf>
    <xf numFmtId="10" fontId="4" fillId="5" borderId="28" xfId="0" applyNumberFormat="1" applyFont="1" applyFill="1" applyBorder="1" applyAlignment="1">
      <alignment horizontal="center" vertical="center"/>
    </xf>
    <xf numFmtId="10" fontId="4" fillId="0" borderId="7" xfId="1" applyNumberFormat="1" applyFont="1" applyBorder="1" applyAlignment="1">
      <alignment horizontal="right"/>
    </xf>
    <xf numFmtId="10" fontId="4" fillId="0" borderId="5" xfId="1" applyNumberFormat="1" applyFont="1" applyBorder="1" applyAlignment="1">
      <alignment horizontal="right"/>
    </xf>
    <xf numFmtId="10" fontId="4" fillId="0" borderId="10" xfId="1" applyNumberFormat="1" applyFont="1" applyBorder="1" applyAlignment="1">
      <alignment horizontal="right"/>
    </xf>
    <xf numFmtId="10" fontId="4" fillId="5" borderId="10" xfId="0" applyNumberFormat="1" applyFont="1" applyFill="1" applyBorder="1" applyAlignment="1">
      <alignment horizontal="center" vertical="center"/>
    </xf>
    <xf numFmtId="10" fontId="4" fillId="0" borderId="10" xfId="0" applyNumberFormat="1" applyFont="1" applyFill="1" applyBorder="1" applyAlignment="1">
      <alignment horizontal="center" vertical="center"/>
    </xf>
    <xf numFmtId="10" fontId="4" fillId="5" borderId="5" xfId="1" applyNumberFormat="1" applyFont="1" applyFill="1" applyBorder="1" applyAlignment="1">
      <alignment horizontal="center"/>
    </xf>
    <xf numFmtId="10" fontId="4" fillId="0" borderId="10" xfId="1" applyNumberFormat="1" applyFont="1" applyBorder="1"/>
    <xf numFmtId="0" fontId="4" fillId="0" borderId="7" xfId="0" applyFont="1" applyBorder="1" applyAlignment="1">
      <alignment horizontal="right"/>
    </xf>
    <xf numFmtId="0" fontId="4" fillId="5" borderId="5" xfId="0" applyFont="1" applyFill="1" applyBorder="1" applyAlignment="1">
      <alignment horizontal="center"/>
    </xf>
    <xf numFmtId="0" fontId="4" fillId="0" borderId="10" xfId="0" applyFont="1" applyBorder="1"/>
    <xf numFmtId="10" fontId="4" fillId="5" borderId="29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32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10" fontId="4" fillId="0" borderId="54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/>
    </xf>
    <xf numFmtId="10" fontId="5" fillId="3" borderId="1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Border="1" applyAlignment="1">
      <alignment horizontal="right"/>
    </xf>
    <xf numFmtId="10" fontId="4" fillId="0" borderId="13" xfId="1" applyNumberFormat="1" applyFont="1" applyBorder="1" applyAlignment="1">
      <alignment horizontal="right"/>
    </xf>
    <xf numFmtId="10" fontId="4" fillId="0" borderId="29" xfId="1" applyNumberFormat="1" applyFont="1" applyBorder="1" applyAlignment="1">
      <alignment horizontal="right"/>
    </xf>
    <xf numFmtId="164" fontId="3" fillId="3" borderId="29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4" fillId="0" borderId="50" xfId="0" applyFont="1" applyBorder="1"/>
    <xf numFmtId="164" fontId="3" fillId="0" borderId="9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" fillId="6" borderId="15" xfId="0" applyFont="1" applyFill="1" applyBorder="1" applyAlignment="1">
      <alignment vertical="center"/>
    </xf>
    <xf numFmtId="0" fontId="2" fillId="6" borderId="16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6" borderId="16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3" fillId="0" borderId="8" xfId="0" applyFont="1" applyFill="1" applyBorder="1" applyAlignment="1">
      <alignment wrapText="1"/>
    </xf>
    <xf numFmtId="4" fontId="14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43" fontId="4" fillId="0" borderId="0" xfId="3" applyFont="1" applyAlignment="1">
      <alignment vertical="center"/>
    </xf>
    <xf numFmtId="0" fontId="2" fillId="0" borderId="16" xfId="0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/>
    <xf numFmtId="164" fontId="4" fillId="3" borderId="31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right" vertical="center"/>
    </xf>
    <xf numFmtId="164" fontId="5" fillId="10" borderId="3" xfId="0" applyNumberFormat="1" applyFont="1" applyFill="1" applyBorder="1" applyAlignment="1">
      <alignment horizontal="right"/>
    </xf>
    <xf numFmtId="0" fontId="5" fillId="9" borderId="22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164" fontId="4" fillId="0" borderId="31" xfId="0" applyNumberFormat="1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 applyAlignment="1">
      <alignment horizontal="center" vertical="center"/>
    </xf>
    <xf numFmtId="164" fontId="4" fillId="3" borderId="14" xfId="0" applyNumberFormat="1" applyFont="1" applyFill="1" applyBorder="1"/>
    <xf numFmtId="0" fontId="3" fillId="0" borderId="11" xfId="0" applyFont="1" applyBorder="1"/>
    <xf numFmtId="0" fontId="3" fillId="0" borderId="0" xfId="0" applyFont="1" applyFill="1" applyBorder="1"/>
    <xf numFmtId="164" fontId="4" fillId="3" borderId="6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/>
    </xf>
    <xf numFmtId="4" fontId="15" fillId="0" borderId="0" xfId="0" applyNumberFormat="1" applyFont="1"/>
    <xf numFmtId="0" fontId="3" fillId="0" borderId="21" xfId="0" applyFont="1" applyBorder="1" applyAlignment="1">
      <alignment horizontal="right"/>
    </xf>
    <xf numFmtId="0" fontId="4" fillId="0" borderId="13" xfId="0" applyFont="1" applyBorder="1" applyAlignment="1">
      <alignment horizontal="center" vertical="center"/>
    </xf>
    <xf numFmtId="164" fontId="4" fillId="3" borderId="29" xfId="0" applyNumberFormat="1" applyFont="1" applyFill="1" applyBorder="1"/>
    <xf numFmtId="0" fontId="3" fillId="0" borderId="39" xfId="0" applyFont="1" applyBorder="1"/>
    <xf numFmtId="0" fontId="3" fillId="0" borderId="0" xfId="0" applyFont="1" applyBorder="1"/>
    <xf numFmtId="0" fontId="2" fillId="0" borderId="16" xfId="0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3" fontId="3" fillId="0" borderId="36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4" fontId="3" fillId="0" borderId="36" xfId="0" applyNumberFormat="1" applyFont="1" applyFill="1" applyBorder="1" applyAlignment="1">
      <alignment horizontal="center" vertical="center"/>
    </xf>
    <xf numFmtId="164" fontId="3" fillId="8" borderId="31" xfId="0" applyNumberFormat="1" applyFont="1" applyFill="1" applyBorder="1" applyAlignment="1">
      <alignment horizontal="center"/>
    </xf>
    <xf numFmtId="164" fontId="3" fillId="8" borderId="36" xfId="0" applyNumberFormat="1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0" fontId="3" fillId="8" borderId="34" xfId="0" applyNumberFormat="1" applyFont="1" applyFill="1" applyBorder="1" applyAlignment="1">
      <alignment horizontal="center" vertical="center"/>
    </xf>
    <xf numFmtId="10" fontId="3" fillId="8" borderId="18" xfId="0" applyNumberFormat="1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0" fontId="2" fillId="10" borderId="15" xfId="0" applyFont="1" applyFill="1" applyBorder="1" applyAlignment="1">
      <alignment horizontal="left"/>
    </xf>
    <xf numFmtId="0" fontId="2" fillId="10" borderId="16" xfId="0" applyFont="1" applyFill="1" applyBorder="1" applyAlignment="1">
      <alignment horizontal="left"/>
    </xf>
    <xf numFmtId="0" fontId="2" fillId="6" borderId="15" xfId="0" applyFont="1" applyFill="1" applyBorder="1" applyAlignment="1">
      <alignment vertical="center"/>
    </xf>
    <xf numFmtId="0" fontId="2" fillId="6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164" fontId="3" fillId="5" borderId="31" xfId="0" applyNumberFormat="1" applyFont="1" applyFill="1" applyBorder="1" applyAlignment="1">
      <alignment horizontal="center" vertical="center"/>
    </xf>
    <xf numFmtId="164" fontId="3" fillId="5" borderId="36" xfId="0" applyNumberFormat="1" applyFont="1" applyFill="1" applyBorder="1" applyAlignment="1">
      <alignment horizontal="center" vertical="center"/>
    </xf>
    <xf numFmtId="164" fontId="3" fillId="5" borderId="37" xfId="0" applyNumberFormat="1" applyFont="1" applyFill="1" applyBorder="1" applyAlignment="1">
      <alignment horizontal="center" vertical="center"/>
    </xf>
    <xf numFmtId="164" fontId="3" fillId="5" borderId="38" xfId="0" applyNumberFormat="1" applyFont="1" applyFill="1" applyBorder="1" applyAlignment="1">
      <alignment horizontal="center" vertical="center"/>
    </xf>
    <xf numFmtId="164" fontId="3" fillId="5" borderId="30" xfId="0" applyNumberFormat="1" applyFont="1" applyFill="1" applyBorder="1" applyAlignment="1">
      <alignment horizontal="center" vertical="center"/>
    </xf>
    <xf numFmtId="164" fontId="3" fillId="5" borderId="35" xfId="0" applyNumberFormat="1" applyFont="1" applyFill="1" applyBorder="1" applyAlignment="1">
      <alignment horizontal="center" vertical="center"/>
    </xf>
    <xf numFmtId="164" fontId="3" fillId="8" borderId="30" xfId="0" applyNumberFormat="1" applyFont="1" applyFill="1" applyBorder="1" applyAlignment="1">
      <alignment horizontal="center"/>
    </xf>
    <xf numFmtId="164" fontId="3" fillId="8" borderId="35" xfId="0" applyNumberFormat="1" applyFont="1" applyFill="1" applyBorder="1" applyAlignment="1">
      <alignment horizontal="center"/>
    </xf>
    <xf numFmtId="3" fontId="3" fillId="5" borderId="31" xfId="0" applyNumberFormat="1" applyFont="1" applyFill="1" applyBorder="1" applyAlignment="1">
      <alignment horizontal="center" vertical="center"/>
    </xf>
    <xf numFmtId="3" fontId="3" fillId="5" borderId="36" xfId="0" applyNumberFormat="1" applyFont="1" applyFill="1" applyBorder="1" applyAlignment="1">
      <alignment horizontal="center" vertical="center"/>
    </xf>
    <xf numFmtId="4" fontId="3" fillId="10" borderId="31" xfId="0" applyNumberFormat="1" applyFont="1" applyFill="1" applyBorder="1" applyAlignment="1">
      <alignment horizontal="center" vertical="center"/>
    </xf>
    <xf numFmtId="4" fontId="3" fillId="10" borderId="36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3" borderId="30" xfId="0" applyNumberFormat="1" applyFont="1" applyFill="1" applyBorder="1" applyAlignment="1">
      <alignment horizontal="center"/>
    </xf>
    <xf numFmtId="0" fontId="3" fillId="3" borderId="35" xfId="0" applyNumberFormat="1" applyFont="1" applyFill="1" applyBorder="1" applyAlignment="1">
      <alignment horizontal="center"/>
    </xf>
    <xf numFmtId="0" fontId="3" fillId="3" borderId="31" xfId="0" applyNumberFormat="1" applyFont="1" applyFill="1" applyBorder="1" applyAlignment="1">
      <alignment horizontal="center"/>
    </xf>
    <xf numFmtId="0" fontId="3" fillId="3" borderId="36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3" fontId="3" fillId="10" borderId="31" xfId="0" applyNumberFormat="1" applyFont="1" applyFill="1" applyBorder="1" applyAlignment="1">
      <alignment horizontal="center" vertical="center"/>
    </xf>
    <xf numFmtId="3" fontId="3" fillId="10" borderId="36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2" fillId="5" borderId="34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3" fontId="3" fillId="5" borderId="37" xfId="0" applyNumberFormat="1" applyFont="1" applyFill="1" applyBorder="1" applyAlignment="1">
      <alignment horizontal="center" vertical="center"/>
    </xf>
    <xf numFmtId="3" fontId="3" fillId="5" borderId="3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11" borderId="34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4" fontId="2" fillId="0" borderId="40" xfId="0" applyNumberFormat="1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37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center"/>
    </xf>
    <xf numFmtId="4" fontId="2" fillId="11" borderId="34" xfId="0" applyNumberFormat="1" applyFont="1" applyFill="1" applyBorder="1" applyAlignment="1">
      <alignment horizontal="center"/>
    </xf>
    <xf numFmtId="4" fontId="2" fillId="11" borderId="17" xfId="0" applyNumberFormat="1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4" fontId="3" fillId="10" borderId="37" xfId="0" applyNumberFormat="1" applyFont="1" applyFill="1" applyBorder="1" applyAlignment="1">
      <alignment horizontal="center" vertical="center"/>
    </xf>
    <xf numFmtId="4" fontId="3" fillId="10" borderId="38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/>
    </xf>
    <xf numFmtId="0" fontId="3" fillId="3" borderId="38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4" fillId="0" borderId="37" xfId="0" applyNumberFormat="1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center" vertical="center"/>
    </xf>
    <xf numFmtId="164" fontId="3" fillId="3" borderId="35" xfId="0" applyNumberFormat="1" applyFont="1" applyFill="1" applyBorder="1" applyAlignment="1">
      <alignment horizontal="center" vertical="center"/>
    </xf>
    <xf numFmtId="164" fontId="3" fillId="3" borderId="37" xfId="0" applyNumberFormat="1" applyFont="1" applyFill="1" applyBorder="1" applyAlignment="1">
      <alignment horizontal="center" vertical="center"/>
    </xf>
    <xf numFmtId="164" fontId="3" fillId="3" borderId="38" xfId="0" applyNumberFormat="1" applyFont="1" applyFill="1" applyBorder="1" applyAlignment="1">
      <alignment horizontal="center" vertical="center"/>
    </xf>
    <xf numFmtId="164" fontId="4" fillId="3" borderId="30" xfId="0" applyNumberFormat="1" applyFont="1" applyFill="1" applyBorder="1" applyAlignment="1">
      <alignment horizontal="center" vertical="center"/>
    </xf>
    <xf numFmtId="164" fontId="4" fillId="3" borderId="35" xfId="0" applyNumberFormat="1" applyFont="1" applyFill="1" applyBorder="1" applyAlignment="1">
      <alignment horizontal="center" vertical="center"/>
    </xf>
    <xf numFmtId="164" fontId="3" fillId="0" borderId="31" xfId="0" applyNumberFormat="1" applyFont="1" applyFill="1" applyBorder="1" applyAlignment="1">
      <alignment horizontal="center"/>
    </xf>
    <xf numFmtId="164" fontId="3" fillId="0" borderId="36" xfId="0" applyNumberFormat="1" applyFont="1" applyFill="1" applyBorder="1" applyAlignment="1">
      <alignment horizontal="center"/>
    </xf>
    <xf numFmtId="164" fontId="4" fillId="3" borderId="31" xfId="0" applyNumberFormat="1" applyFont="1" applyFill="1" applyBorder="1" applyAlignment="1">
      <alignment horizontal="center" vertical="center"/>
    </xf>
    <xf numFmtId="164" fontId="4" fillId="3" borderId="36" xfId="0" applyNumberFormat="1" applyFont="1" applyFill="1" applyBorder="1" applyAlignment="1">
      <alignment horizontal="center" vertical="center"/>
    </xf>
    <xf numFmtId="164" fontId="4" fillId="3" borderId="37" xfId="0" applyNumberFormat="1" applyFont="1" applyFill="1" applyBorder="1" applyAlignment="1">
      <alignment horizontal="center" vertical="center"/>
    </xf>
    <xf numFmtId="164" fontId="4" fillId="3" borderId="38" xfId="0" applyNumberFormat="1" applyFont="1" applyFill="1" applyBorder="1" applyAlignment="1">
      <alignment horizontal="center" vertical="center"/>
    </xf>
    <xf numFmtId="43" fontId="4" fillId="0" borderId="16" xfId="3" applyFont="1" applyBorder="1" applyAlignment="1">
      <alignment horizontal="center" vertical="center"/>
    </xf>
    <xf numFmtId="164" fontId="3" fillId="8" borderId="37" xfId="0" applyNumberFormat="1" applyFont="1" applyFill="1" applyBorder="1" applyAlignment="1">
      <alignment horizontal="center"/>
    </xf>
    <xf numFmtId="164" fontId="3" fillId="8" borderId="38" xfId="0" applyNumberFormat="1" applyFont="1" applyFill="1" applyBorder="1" applyAlignment="1">
      <alignment horizontal="center"/>
    </xf>
    <xf numFmtId="164" fontId="3" fillId="10" borderId="34" xfId="0" applyNumberFormat="1" applyFont="1" applyFill="1" applyBorder="1" applyAlignment="1">
      <alignment horizontal="center"/>
    </xf>
    <xf numFmtId="164" fontId="3" fillId="10" borderId="1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" fontId="3" fillId="0" borderId="37" xfId="0" applyNumberFormat="1" applyFont="1" applyFill="1" applyBorder="1" applyAlignment="1">
      <alignment horizontal="center" vertical="center"/>
    </xf>
    <xf numFmtId="4" fontId="3" fillId="0" borderId="38" xfId="0" applyNumberFormat="1" applyFont="1" applyFill="1" applyBorder="1" applyAlignment="1">
      <alignment horizontal="center" vertical="center"/>
    </xf>
    <xf numFmtId="164" fontId="3" fillId="8" borderId="30" xfId="0" applyNumberFormat="1" applyFont="1" applyFill="1" applyBorder="1" applyAlignment="1">
      <alignment horizontal="center" vertical="center"/>
    </xf>
    <xf numFmtId="164" fontId="3" fillId="8" borderId="35" xfId="0" applyNumberFormat="1" applyFont="1" applyFill="1" applyBorder="1" applyAlignment="1">
      <alignment horizontal="center" vertical="center"/>
    </xf>
    <xf numFmtId="164" fontId="3" fillId="8" borderId="31" xfId="0" applyNumberFormat="1" applyFont="1" applyFill="1" applyBorder="1" applyAlignment="1">
      <alignment horizontal="center" vertical="center"/>
    </xf>
    <xf numFmtId="164" fontId="3" fillId="8" borderId="36" xfId="0" applyNumberFormat="1" applyFont="1" applyFill="1" applyBorder="1" applyAlignment="1">
      <alignment horizontal="center" vertical="center"/>
    </xf>
    <xf numFmtId="164" fontId="3" fillId="8" borderId="37" xfId="0" applyNumberFormat="1" applyFont="1" applyFill="1" applyBorder="1" applyAlignment="1">
      <alignment horizontal="center" vertical="center"/>
    </xf>
    <xf numFmtId="164" fontId="3" fillId="8" borderId="38" xfId="0" applyNumberFormat="1" applyFont="1" applyFill="1" applyBorder="1" applyAlignment="1">
      <alignment horizontal="center" vertical="center"/>
    </xf>
    <xf numFmtId="164" fontId="4" fillId="6" borderId="31" xfId="0" applyNumberFormat="1" applyFont="1" applyFill="1" applyBorder="1" applyAlignment="1">
      <alignment horizontal="center" vertical="center"/>
    </xf>
    <xf numFmtId="164" fontId="4" fillId="6" borderId="36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165" fontId="4" fillId="6" borderId="37" xfId="0" applyNumberFormat="1" applyFont="1" applyFill="1" applyBorder="1" applyAlignment="1">
      <alignment horizontal="center"/>
    </xf>
    <xf numFmtId="165" fontId="4" fillId="6" borderId="38" xfId="0" applyNumberFormat="1" applyFont="1" applyFill="1" applyBorder="1" applyAlignment="1">
      <alignment horizontal="center"/>
    </xf>
    <xf numFmtId="164" fontId="4" fillId="3" borderId="34" xfId="0" applyNumberFormat="1" applyFont="1" applyFill="1" applyBorder="1" applyAlignment="1">
      <alignment horizontal="center"/>
    </xf>
    <xf numFmtId="164" fontId="4" fillId="3" borderId="18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164" fontId="4" fillId="8" borderId="58" xfId="0" applyNumberFormat="1" applyFont="1" applyFill="1" applyBorder="1" applyAlignment="1">
      <alignment horizontal="center" vertical="center"/>
    </xf>
    <xf numFmtId="164" fontId="4" fillId="8" borderId="57" xfId="0" applyNumberFormat="1" applyFont="1" applyFill="1" applyBorder="1" applyAlignment="1">
      <alignment horizontal="center" vertical="center"/>
    </xf>
    <xf numFmtId="164" fontId="4" fillId="8" borderId="31" xfId="0" applyNumberFormat="1" applyFont="1" applyFill="1" applyBorder="1" applyAlignment="1">
      <alignment horizontal="center" vertical="center"/>
    </xf>
    <xf numFmtId="164" fontId="4" fillId="8" borderId="36" xfId="0" applyNumberFormat="1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9" fontId="5" fillId="0" borderId="27" xfId="1" applyFont="1" applyBorder="1" applyAlignment="1">
      <alignment horizontal="center"/>
    </xf>
    <xf numFmtId="9" fontId="5" fillId="0" borderId="26" xfId="1" applyFont="1" applyBorder="1" applyAlignment="1">
      <alignment horizontal="center"/>
    </xf>
    <xf numFmtId="9" fontId="5" fillId="0" borderId="28" xfId="1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3" fillId="0" borderId="37" xfId="2" applyFill="1" applyBorder="1" applyAlignment="1"/>
    <xf numFmtId="0" fontId="4" fillId="0" borderId="46" xfId="0" applyFont="1" applyFill="1" applyBorder="1" applyAlignment="1"/>
    <xf numFmtId="0" fontId="4" fillId="0" borderId="42" xfId="0" applyFont="1" applyFill="1" applyBorder="1" applyAlignment="1"/>
    <xf numFmtId="0" fontId="13" fillId="0" borderId="31" xfId="2" applyBorder="1" applyAlignment="1"/>
    <xf numFmtId="0" fontId="3" fillId="0" borderId="47" xfId="0" applyFont="1" applyBorder="1" applyAlignment="1"/>
    <xf numFmtId="0" fontId="3" fillId="0" borderId="41" xfId="0" applyFont="1" applyBorder="1" applyAlignment="1"/>
    <xf numFmtId="0" fontId="13" fillId="0" borderId="31" xfId="2" applyBorder="1" applyAlignment="1">
      <alignment horizontal="left"/>
    </xf>
    <xf numFmtId="0" fontId="13" fillId="0" borderId="47" xfId="2" applyBorder="1" applyAlignment="1">
      <alignment horizontal="left"/>
    </xf>
    <xf numFmtId="0" fontId="13" fillId="0" borderId="41" xfId="2" applyBorder="1" applyAlignment="1">
      <alignment horizontal="left"/>
    </xf>
    <xf numFmtId="0" fontId="5" fillId="9" borderId="34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Porcentagem" xfId="1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.br/Tinta-Acr%C3%ADlica-Fosco-Palha-Litros/dp/B07B6359L1?source=ps-sl-shoppingads-lpcontext&amp;ref_=fplfs&amp;psc=1&amp;smid=ABK1KQ6P2INR2" TargetMode="External"/><Relationship Id="rId13" Type="http://schemas.openxmlformats.org/officeDocument/2006/relationships/hyperlink" Target="https://www.taqi.com.br/tinta-coral-paredex-branco-fosco-18/182238" TargetMode="External"/><Relationship Id="rId18" Type="http://schemas.openxmlformats.org/officeDocument/2006/relationships/hyperlink" Target="https://www.google.com/search?q=Gal%C3%A3o+de+tinta+acr%C3%ADlica+18+litros&amp;npsic=0&amp;rflfq=1&amp;rldoc=1&amp;rllag=-29176323,-51176468,1192&amp;tbm=lcl&amp;sa=X&amp;ved=2ahUKEwit1Mngqdn7AhV8q5UCHWSXA6sQtgN6BAh0EAE" TargetMode="External"/><Relationship Id="rId3" Type="http://schemas.openxmlformats.org/officeDocument/2006/relationships/hyperlink" Target="https://www.queroquero.com.br/tinta-acrilica-coralar-2278-branco-fosco-18l/p?idsku=1075" TargetMode="External"/><Relationship Id="rId21" Type="http://schemas.openxmlformats.org/officeDocument/2006/relationships/hyperlink" Target="https://www.cec.com.br/busca?q=Tinta+Acrilica+De+Parede+18+Litros" TargetMode="External"/><Relationship Id="rId7" Type="http://schemas.openxmlformats.org/officeDocument/2006/relationships/hyperlink" Target="https://www.taqi.com.br/tinta-acrilica-new-tintas-standard-fosca-branca/186956" TargetMode="External"/><Relationship Id="rId12" Type="http://schemas.openxmlformats.org/officeDocument/2006/relationships/hyperlink" Target="https://produto.mercadolivre.com.br/MLB-1889893290-tinta-acrilica-fosco-coralar-branco-18-litros-_JM?matt_tool=18956390&amp;utm_source=google_shopping&amp;utm_medium=organic" TargetMode="External"/><Relationship Id="rId17" Type="http://schemas.openxmlformats.org/officeDocument/2006/relationships/hyperlink" Target="https://www.carrefour.com.br/Casa-Constru%C3%A7%C3%A3o-e-Ferramentas/Tintas-e-Acess%C3%B3rios/Tintas-para-Reforma/tinta-acrilica-18-litros-c.sdex" TargetMode="External"/><Relationship Id="rId25" Type="http://schemas.openxmlformats.org/officeDocument/2006/relationships/hyperlink" Target="https://www.google.com/aclk?sa=l&amp;ai=DChcSEwip3dXgqdn7AhW_G9QBHQLTDQsYABAIGgJvYQ&amp;sig=AOD64_26n464oaJrc2zyKS7QkIWAaI9rMA&amp;ctype=5&amp;q=&amp;ved=2ahUKEwit1Mngqdn7AhV8q5UCHWSXA6sQ9aACKAB6BAgGEB8&amp;adurl=" TargetMode="External"/><Relationship Id="rId2" Type="http://schemas.openxmlformats.org/officeDocument/2006/relationships/hyperlink" Target="https://www.magazineluiza.com.br/coral-coralar-economico-18l/p/ck0cc4df09/cj/ttpm/?&amp;seller_id=antiktintas" TargetMode="External"/><Relationship Id="rId16" Type="http://schemas.openxmlformats.org/officeDocument/2006/relationships/hyperlink" Target="https://lista.mercadolivre.com.br/tinta-acrilica-18-litros" TargetMode="External"/><Relationship Id="rId20" Type="http://schemas.openxmlformats.org/officeDocument/2006/relationships/hyperlink" Target="https://www.extra.com.br/tinta-acrilica-18-litros-branco/b" TargetMode="External"/><Relationship Id="rId1" Type="http://schemas.openxmlformats.org/officeDocument/2006/relationships/hyperlink" Target="https://www.taqi.com.br/tinta-coral-acrilica-coralar-fosco-branco-balde-18-litros/072058" TargetMode="External"/><Relationship Id="rId6" Type="http://schemas.openxmlformats.org/officeDocument/2006/relationships/hyperlink" Target="https://www.leroymerlin.com.br/tinta-acrilica-acetinada-toque-de-seda-premium-interior-e-exterior-branco-18-l-suvinil_85794394?store_code=32" TargetMode="External"/><Relationship Id="rId11" Type="http://schemas.openxmlformats.org/officeDocument/2006/relationships/hyperlink" Target="https://www.leroymerlin.com.br/tinta-acrilica-fosca-plural-economica-interior-branco-18-l-iquine_89486915?store_code=32" TargetMode="External"/><Relationship Id="rId24" Type="http://schemas.openxmlformats.org/officeDocument/2006/relationships/hyperlink" Target="https://www.zoom.com.br/busca/tinta+acrilica+premium+18" TargetMode="External"/><Relationship Id="rId5" Type="http://schemas.openxmlformats.org/officeDocument/2006/relationships/hyperlink" Target="https://www.taqi.com.br/tinta-coral-acrilica-brilho-e-protecao-semi-brilho-branco-18-litros/104869" TargetMode="External"/><Relationship Id="rId15" Type="http://schemas.openxmlformats.org/officeDocument/2006/relationships/hyperlink" Target="https://www.buscape.com.br/busca/tinta+acrilica+18+litros" TargetMode="External"/><Relationship Id="rId23" Type="http://schemas.openxmlformats.org/officeDocument/2006/relationships/hyperlink" Target="https://www.submarino.com.br/busca/tinta-acrilica-18-litros" TargetMode="External"/><Relationship Id="rId10" Type="http://schemas.openxmlformats.org/officeDocument/2006/relationships/hyperlink" Target="https://www.taqi.com.br/tinta-coral-acrilica-decora-fosco-branco-balde-18-litros/077795" TargetMode="External"/><Relationship Id="rId19" Type="http://schemas.openxmlformats.org/officeDocument/2006/relationships/hyperlink" Target="https://www.shoptime.com.br/busca/tinta-acrilica-18-litros" TargetMode="External"/><Relationship Id="rId4" Type="http://schemas.openxmlformats.org/officeDocument/2006/relationships/hyperlink" Target="https://produto.mercadolivre.com.br/MLB-1890440205-tinta-latex-acrilica-econmica-lata-18-litros-diversas-cores-_JM?matt_tool=18956390&amp;utm_source=google_shopping&amp;utm_medium=organic" TargetMode="External"/><Relationship Id="rId9" Type="http://schemas.openxmlformats.org/officeDocument/2006/relationships/hyperlink" Target="https://www.lojasafubra.com.br/tinta-met-acril-fosca-82300-18/p?idsku=9318" TargetMode="External"/><Relationship Id="rId14" Type="http://schemas.openxmlformats.org/officeDocument/2006/relationships/hyperlink" Target="https://www.americanas.com.br/busca/tinta-acrilica-18-litros" TargetMode="External"/><Relationship Id="rId22" Type="http://schemas.openxmlformats.org/officeDocument/2006/relationships/hyperlink" Target="https://www.magazineluiza.com.br/busca/tinta+18+litros/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226</xdr:row>
      <xdr:rowOff>0</xdr:rowOff>
    </xdr:from>
    <xdr:to>
      <xdr:col>7</xdr:col>
      <xdr:colOff>228600</xdr:colOff>
      <xdr:row>227</xdr:row>
      <xdr:rowOff>45722</xdr:rowOff>
    </xdr:to>
    <xdr:sp macro="" textlink="">
      <xdr:nvSpPr>
        <xdr:cNvPr id="1030" name="dimg_1" descr="data:image/png;base64,iVBORw0KGgoAAAANSUhEUgAAADAAAAAwCAMAAABg3Am1AAAAQlBMVEVHcEwac+gac+gac+hlnJYac+g1jbOByZWByZVtvYM7oFgejj4nk0aByZUejj6ByZXzqB3qhgDqhgD0qBr8yTT8yTT2svvNAAAAFnRSTlMAhOv/Eb88r/////+4cG6/QJ////+nISczlwAAALRJREFUeAHV0kUWxDAMA1AHy9ze/6pT5vopw/1rKwrRjwiplBSaQNqonrTo+mpkwAI1wyqsmom/CLQkcAbgloCE0YSywhgj6I6s528EYdSKLy838beCaJTi81xC+zthtNBgwSz9eCB+f0OLD7S4W6Iz9rrCEpQIQna+pZNsK+6kmu4gL8pWVdWMJqdZUY7aBBfZzuOJvCzRRL4tQCvKjZrlHNAfb3A+tPO1uj7cs18D/nzf8QCycjvSZdC/XAAAAABJRU5ErkJggg=="/>
        <xdr:cNvSpPr>
          <a:spLocks noChangeAspect="1" noChangeArrowheads="1"/>
        </xdr:cNvSpPr>
      </xdr:nvSpPr>
      <xdr:spPr bwMode="auto">
        <a:xfrm>
          <a:off x="11635740" y="3348228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205740</xdr:colOff>
      <xdr:row>235</xdr:row>
      <xdr:rowOff>15239</xdr:rowOff>
    </xdr:to>
    <xdr:sp macro="" textlink="">
      <xdr:nvSpPr>
        <xdr:cNvPr id="1031" name="platop0" descr="Imagem de Tinta Acrílica Coral Coralar, Branco Fosco, 18 Litros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1635740" y="33855660"/>
          <a:ext cx="108966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237</xdr:row>
      <xdr:rowOff>0</xdr:rowOff>
    </xdr:from>
    <xdr:to>
      <xdr:col>8</xdr:col>
      <xdr:colOff>205740</xdr:colOff>
      <xdr:row>241</xdr:row>
      <xdr:rowOff>114300</xdr:rowOff>
    </xdr:to>
    <xdr:sp macro="" textlink="">
      <xdr:nvSpPr>
        <xdr:cNvPr id="1032" name="platop1" descr="Imagem de Coral Coralar Econômico 18L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1635740" y="37200840"/>
          <a:ext cx="1089660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241</xdr:row>
      <xdr:rowOff>0</xdr:rowOff>
    </xdr:from>
    <xdr:to>
      <xdr:col>8</xdr:col>
      <xdr:colOff>205740</xdr:colOff>
      <xdr:row>250</xdr:row>
      <xdr:rowOff>83820</xdr:rowOff>
    </xdr:to>
    <xdr:sp macro="" textlink="">
      <xdr:nvSpPr>
        <xdr:cNvPr id="1033" name="platop2" descr="Imagem de TINTA ACRILICA CORALAR 2278 BRANCO FOSCO 18L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1635740" y="39075360"/>
          <a:ext cx="108966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205740</xdr:colOff>
      <xdr:row>258</xdr:row>
      <xdr:rowOff>15241</xdr:rowOff>
    </xdr:to>
    <xdr:sp macro="" textlink="">
      <xdr:nvSpPr>
        <xdr:cNvPr id="1034" name="platop3" descr="Imagem de Tinta Latex Acrílica Econômica Lata 18 Litros Diversas Cores Anbratintas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1635740" y="42588180"/>
          <a:ext cx="1089660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205740</xdr:colOff>
      <xdr:row>266</xdr:row>
      <xdr:rowOff>160021</xdr:rowOff>
    </xdr:to>
    <xdr:sp macro="" textlink="">
      <xdr:nvSpPr>
        <xdr:cNvPr id="1035" name="platop4" descr="Imagem de Tinta Acrílica Coral Brilho e Proteção, Semibrilho Branco, 18 Litros">
          <a:hlinkClick xmlns:r="http://schemas.openxmlformats.org/officeDocument/2006/relationships" r:id="rId5" tgtFrame="_blank"/>
        </xdr:cNvPr>
        <xdr:cNvSpPr>
          <a:spLocks noChangeAspect="1" noChangeArrowheads="1"/>
        </xdr:cNvSpPr>
      </xdr:nvSpPr>
      <xdr:spPr bwMode="auto">
        <a:xfrm>
          <a:off x="11635740" y="45880020"/>
          <a:ext cx="108966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205740</xdr:colOff>
      <xdr:row>278</xdr:row>
      <xdr:rowOff>160020</xdr:rowOff>
    </xdr:to>
    <xdr:sp macro="" textlink="">
      <xdr:nvSpPr>
        <xdr:cNvPr id="1036" name="platop5" descr="Imagem de Tinta Acrílica Acetinada Seda Interior Exterior Branco 18">
          <a:hlinkClick xmlns:r="http://schemas.openxmlformats.org/officeDocument/2006/relationships" r:id="rId6" tgtFrame="_blank"/>
        </xdr:cNvPr>
        <xdr:cNvSpPr>
          <a:spLocks noChangeAspect="1" noChangeArrowheads="1"/>
        </xdr:cNvSpPr>
      </xdr:nvSpPr>
      <xdr:spPr bwMode="auto">
        <a:xfrm>
          <a:off x="11635740" y="49720500"/>
          <a:ext cx="108966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7</xdr:col>
      <xdr:colOff>106680</xdr:colOff>
      <xdr:row>279</xdr:row>
      <xdr:rowOff>106680</xdr:rowOff>
    </xdr:to>
    <xdr:sp macro="" textlink="">
      <xdr:nvSpPr>
        <xdr:cNvPr id="1037" name="AutoShape 13" descr="data:image/png;base64,iVBORw0KGgoAAAANSUhEUgAAABAAAAAXBAMAAADw2NLqAAAAG1BMVEVVqv9DiPdDhvVDhvRChfVDhfVChvVDhvZGivv59tWlAAAACXRSTlMBNZTM/aXgYRtB72BqAAAAcElEQVR4AUWLNRYCQRQECyfFYjRHD4CMhGiO5ugBOPpOv7XR+i1Ac7HpAxRNWD1gIdgQC5LaMawYGbPvGLMOEQunEJIqP4fUysJ5vRrDhVoML3jod8BP4IGSYALUBX9iTw5UjNmBvIeTA7RXxKv2AiJHXyE1MXrt9AAAAABJRU5ErkJggg==">
          <a:hlinkClick xmlns:r="http://schemas.openxmlformats.org/officeDocument/2006/relationships" r:id="rId6" tgtFrame="_blank"/>
        </xdr:cNvPr>
        <xdr:cNvSpPr>
          <a:spLocks noChangeAspect="1" noChangeArrowheads="1"/>
        </xdr:cNvSpPr>
      </xdr:nvSpPr>
      <xdr:spPr bwMode="auto">
        <a:xfrm>
          <a:off x="11635740" y="51549300"/>
          <a:ext cx="10668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8</xdr:col>
      <xdr:colOff>205740</xdr:colOff>
      <xdr:row>290</xdr:row>
      <xdr:rowOff>152400</xdr:rowOff>
    </xdr:to>
    <xdr:sp macro="" textlink="">
      <xdr:nvSpPr>
        <xdr:cNvPr id="1038" name="platop6" descr="Imagem de Tinta Acrílica New Tintas Standard, Fosca Branco, 18 Litros">
          <a:hlinkClick xmlns:r="http://schemas.openxmlformats.org/officeDocument/2006/relationships" r:id="rId7" tgtFrame="_blank"/>
        </xdr:cNvPr>
        <xdr:cNvSpPr>
          <a:spLocks noChangeAspect="1" noChangeArrowheads="1"/>
        </xdr:cNvSpPr>
      </xdr:nvSpPr>
      <xdr:spPr bwMode="auto">
        <a:xfrm>
          <a:off x="11635740" y="53560980"/>
          <a:ext cx="1089660" cy="132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205740</xdr:colOff>
      <xdr:row>302</xdr:row>
      <xdr:rowOff>160021</xdr:rowOff>
    </xdr:to>
    <xdr:sp macro="" textlink="">
      <xdr:nvSpPr>
        <xdr:cNvPr id="1039" name="platop7" descr="Imagem de Tinta Suvinil para parede acrilico fosco completo 18L - Palha - 53400612">
          <a:hlinkClick xmlns:r="http://schemas.openxmlformats.org/officeDocument/2006/relationships" r:id="rId8" tgtFrame="_blank"/>
        </xdr:cNvPr>
        <xdr:cNvSpPr>
          <a:spLocks noChangeAspect="1" noChangeArrowheads="1"/>
        </xdr:cNvSpPr>
      </xdr:nvSpPr>
      <xdr:spPr bwMode="auto">
        <a:xfrm>
          <a:off x="11635740" y="56669940"/>
          <a:ext cx="108966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305</xdr:row>
      <xdr:rowOff>0</xdr:rowOff>
    </xdr:from>
    <xdr:to>
      <xdr:col>8</xdr:col>
      <xdr:colOff>205740</xdr:colOff>
      <xdr:row>314</xdr:row>
      <xdr:rowOff>160018</xdr:rowOff>
    </xdr:to>
    <xdr:sp macro="" textlink="">
      <xdr:nvSpPr>
        <xdr:cNvPr id="1040" name="platop8" descr="Imagem de Tinta Acrílica Premium Sherwin-Williams Metalatex Fosco Branco 18L - 8230002">
          <a:hlinkClick xmlns:r="http://schemas.openxmlformats.org/officeDocument/2006/relationships" r:id="rId9" tgtFrame="_blank"/>
        </xdr:cNvPr>
        <xdr:cNvSpPr>
          <a:spLocks noChangeAspect="1" noChangeArrowheads="1"/>
        </xdr:cNvSpPr>
      </xdr:nvSpPr>
      <xdr:spPr bwMode="auto">
        <a:xfrm>
          <a:off x="11635740" y="60693300"/>
          <a:ext cx="108966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317</xdr:row>
      <xdr:rowOff>0</xdr:rowOff>
    </xdr:from>
    <xdr:to>
      <xdr:col>8</xdr:col>
      <xdr:colOff>205740</xdr:colOff>
      <xdr:row>326</xdr:row>
      <xdr:rowOff>160020</xdr:rowOff>
    </xdr:to>
    <xdr:sp macro="" textlink="">
      <xdr:nvSpPr>
        <xdr:cNvPr id="1041" name="platop9" descr="Imagem de Tinta Acrílica Coral Decora, Branco Fosco, 18 Litros">
          <a:hlinkClick xmlns:r="http://schemas.openxmlformats.org/officeDocument/2006/relationships" r:id="rId10" tgtFrame="_blank"/>
        </xdr:cNvPr>
        <xdr:cNvSpPr>
          <a:spLocks noChangeAspect="1" noChangeArrowheads="1"/>
        </xdr:cNvSpPr>
      </xdr:nvSpPr>
      <xdr:spPr bwMode="auto">
        <a:xfrm>
          <a:off x="11635740" y="64533780"/>
          <a:ext cx="108966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329</xdr:row>
      <xdr:rowOff>0</xdr:rowOff>
    </xdr:from>
    <xdr:to>
      <xdr:col>8</xdr:col>
      <xdr:colOff>205740</xdr:colOff>
      <xdr:row>335</xdr:row>
      <xdr:rowOff>91441</xdr:rowOff>
    </xdr:to>
    <xdr:sp macro="" textlink="">
      <xdr:nvSpPr>
        <xdr:cNvPr id="1042" name="platop10" descr="Imagem de Tinta Acrílica Fosca Plural Interior Branco 18L">
          <a:hlinkClick xmlns:r="http://schemas.openxmlformats.org/officeDocument/2006/relationships" r:id="rId11" tgtFrame="_blank"/>
        </xdr:cNvPr>
        <xdr:cNvSpPr>
          <a:spLocks noChangeAspect="1" noChangeArrowheads="1"/>
        </xdr:cNvSpPr>
      </xdr:nvSpPr>
      <xdr:spPr bwMode="auto">
        <a:xfrm>
          <a:off x="11635740" y="67825620"/>
          <a:ext cx="1089660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336</xdr:row>
      <xdr:rowOff>0</xdr:rowOff>
    </xdr:from>
    <xdr:to>
      <xdr:col>7</xdr:col>
      <xdr:colOff>106680</xdr:colOff>
      <xdr:row>336</xdr:row>
      <xdr:rowOff>106680</xdr:rowOff>
    </xdr:to>
    <xdr:sp macro="" textlink="">
      <xdr:nvSpPr>
        <xdr:cNvPr id="1043" name="AutoShape 19" descr="data:image/png;base64,iVBORw0KGgoAAAANSUhEUgAAABAAAAAXBAMAAADw2NLqAAAAG1BMVEVVqv9DiPdDhvVDhvRChfVDhfVChvVDhvZGivv59tWlAAAACXRSTlMBNZTM/aXgYRtB72BqAAAAcElEQVR4AUWLNRYCQRQECyfFYjRHD4CMhGiO5ugBOPpOv7XR+i1Ac7HpAxRNWD1gIdgQC5LaMawYGbPvGLMOEQunEJIqP4fUysJ5vRrDhVoML3jod8BP4IGSYALUBX9iTw5UjNmBvIeTA7RXxKv2AiJHXyE1MXrt9AAAAABJRU5ErkJggg==">
          <a:hlinkClick xmlns:r="http://schemas.openxmlformats.org/officeDocument/2006/relationships" r:id="rId11" tgtFrame="_blank"/>
        </xdr:cNvPr>
        <xdr:cNvSpPr>
          <a:spLocks noChangeAspect="1" noChangeArrowheads="1"/>
        </xdr:cNvSpPr>
      </xdr:nvSpPr>
      <xdr:spPr bwMode="auto">
        <a:xfrm>
          <a:off x="11635740" y="69105780"/>
          <a:ext cx="10668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340</xdr:row>
      <xdr:rowOff>0</xdr:rowOff>
    </xdr:from>
    <xdr:to>
      <xdr:col>8</xdr:col>
      <xdr:colOff>205740</xdr:colOff>
      <xdr:row>349</xdr:row>
      <xdr:rowOff>160021</xdr:rowOff>
    </xdr:to>
    <xdr:sp macro="" textlink="">
      <xdr:nvSpPr>
        <xdr:cNvPr id="1044" name="platop11" descr="Imagem de Tinta Acrílica Fosco Coralar Branco 18 Litros">
          <a:hlinkClick xmlns:r="http://schemas.openxmlformats.org/officeDocument/2006/relationships" r:id="rId12" tgtFrame="_blank"/>
        </xdr:cNvPr>
        <xdr:cNvSpPr>
          <a:spLocks noChangeAspect="1" noChangeArrowheads="1"/>
        </xdr:cNvSpPr>
      </xdr:nvSpPr>
      <xdr:spPr bwMode="auto">
        <a:xfrm>
          <a:off x="11635740" y="70934580"/>
          <a:ext cx="108966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352</xdr:row>
      <xdr:rowOff>0</xdr:rowOff>
    </xdr:from>
    <xdr:to>
      <xdr:col>8</xdr:col>
      <xdr:colOff>205740</xdr:colOff>
      <xdr:row>361</xdr:row>
      <xdr:rowOff>160019</xdr:rowOff>
    </xdr:to>
    <xdr:sp macro="" textlink="">
      <xdr:nvSpPr>
        <xdr:cNvPr id="1045" name="platop12" descr="Imagem de Tinta Acrílica Coral Paredex, Branco Fosco, 18 Litros">
          <a:hlinkClick xmlns:r="http://schemas.openxmlformats.org/officeDocument/2006/relationships" r:id="rId13" tgtFrame="_blank"/>
        </xdr:cNvPr>
        <xdr:cNvSpPr>
          <a:spLocks noChangeAspect="1" noChangeArrowheads="1"/>
        </xdr:cNvSpPr>
      </xdr:nvSpPr>
      <xdr:spPr bwMode="auto">
        <a:xfrm>
          <a:off x="11635740" y="74043540"/>
          <a:ext cx="108966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381</xdr:row>
      <xdr:rowOff>0</xdr:rowOff>
    </xdr:from>
    <xdr:to>
      <xdr:col>7</xdr:col>
      <xdr:colOff>304800</xdr:colOff>
      <xdr:row>382</xdr:row>
      <xdr:rowOff>137160</xdr:rowOff>
    </xdr:to>
    <xdr:sp macro="" textlink="">
      <xdr:nvSpPr>
        <xdr:cNvPr id="1051" name="dimg_3" descr="Galão de tinta acrílica 18 litros de www.americanas.com.br">
          <a:hlinkClick xmlns:r="http://schemas.openxmlformats.org/officeDocument/2006/relationships" r:id="rId14"/>
        </xdr:cNvPr>
        <xdr:cNvSpPr>
          <a:spLocks noChangeAspect="1" noChangeArrowheads="1"/>
        </xdr:cNvSpPr>
      </xdr:nvSpPr>
      <xdr:spPr bwMode="auto">
        <a:xfrm>
          <a:off x="11635740" y="855192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386</xdr:row>
      <xdr:rowOff>0</xdr:rowOff>
    </xdr:from>
    <xdr:to>
      <xdr:col>7</xdr:col>
      <xdr:colOff>304800</xdr:colOff>
      <xdr:row>387</xdr:row>
      <xdr:rowOff>137160</xdr:rowOff>
    </xdr:to>
    <xdr:sp macro="" textlink="">
      <xdr:nvSpPr>
        <xdr:cNvPr id="1052" name="dimg_31" descr="Galão de tinta acrílica 18 litros de www.buscape.com.br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 bwMode="auto">
        <a:xfrm>
          <a:off x="11635740" y="90723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390</xdr:row>
      <xdr:rowOff>0</xdr:rowOff>
    </xdr:from>
    <xdr:to>
      <xdr:col>7</xdr:col>
      <xdr:colOff>304800</xdr:colOff>
      <xdr:row>391</xdr:row>
      <xdr:rowOff>137160</xdr:rowOff>
    </xdr:to>
    <xdr:sp macro="" textlink="">
      <xdr:nvSpPr>
        <xdr:cNvPr id="1053" name="dimg_20" descr="Galão de tinta acrílica 18 litros de lista.mercadolivre.com.br">
          <a:hlinkClick xmlns:r="http://schemas.openxmlformats.org/officeDocument/2006/relationships" r:id="rId16"/>
        </xdr:cNvPr>
        <xdr:cNvSpPr>
          <a:spLocks noChangeAspect="1" noChangeArrowheads="1"/>
        </xdr:cNvSpPr>
      </xdr:nvSpPr>
      <xdr:spPr bwMode="auto">
        <a:xfrm>
          <a:off x="11635740" y="95227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395</xdr:row>
      <xdr:rowOff>0</xdr:rowOff>
    </xdr:from>
    <xdr:to>
      <xdr:col>7</xdr:col>
      <xdr:colOff>304800</xdr:colOff>
      <xdr:row>396</xdr:row>
      <xdr:rowOff>137160</xdr:rowOff>
    </xdr:to>
    <xdr:sp macro="" textlink="">
      <xdr:nvSpPr>
        <xdr:cNvPr id="1054" name="dimg_39" descr="Galão de tinta acrílica 18 litros de www.carrefour.com.br">
          <a:hlinkClick xmlns:r="http://schemas.openxmlformats.org/officeDocument/2006/relationships" r:id="rId17"/>
        </xdr:cNvPr>
        <xdr:cNvSpPr>
          <a:spLocks noChangeAspect="1" noChangeArrowheads="1"/>
        </xdr:cNvSpPr>
      </xdr:nvSpPr>
      <xdr:spPr bwMode="auto">
        <a:xfrm>
          <a:off x="11635740" y="100614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405</xdr:row>
      <xdr:rowOff>0</xdr:rowOff>
    </xdr:from>
    <xdr:to>
      <xdr:col>16</xdr:col>
      <xdr:colOff>160020</xdr:colOff>
      <xdr:row>416</xdr:row>
      <xdr:rowOff>63649</xdr:rowOff>
    </xdr:to>
    <xdr:sp macro="" textlink="">
      <xdr:nvSpPr>
        <xdr:cNvPr id="1055" name="dimg_43" descr="Mapa de Galão de tinta acrílica 18 litros">
          <a:hlinkClick xmlns:r="http://schemas.openxmlformats.org/officeDocument/2006/relationships" r:id="rId18"/>
        </xdr:cNvPr>
        <xdr:cNvSpPr>
          <a:spLocks noChangeAspect="1" noChangeArrowheads="1"/>
        </xdr:cNvSpPr>
      </xdr:nvSpPr>
      <xdr:spPr bwMode="auto">
        <a:xfrm>
          <a:off x="11635740" y="108325920"/>
          <a:ext cx="62103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422</xdr:row>
      <xdr:rowOff>0</xdr:rowOff>
    </xdr:from>
    <xdr:to>
      <xdr:col>7</xdr:col>
      <xdr:colOff>876300</xdr:colOff>
      <xdr:row>427</xdr:row>
      <xdr:rowOff>38100</xdr:rowOff>
    </xdr:to>
    <xdr:sp macro="" textlink="">
      <xdr:nvSpPr>
        <xdr:cNvPr id="1056" name="pimg_5" descr="data:image/gif;base64,R0lGODlhAQABAIAAAP///////yH5BAEKAAEALAAAAAABAAEAAAICTAEAOw=="/>
        <xdr:cNvSpPr>
          <a:spLocks noChangeAspect="1" noChangeArrowheads="1"/>
        </xdr:cNvSpPr>
      </xdr:nvSpPr>
      <xdr:spPr bwMode="auto">
        <a:xfrm>
          <a:off x="11635740" y="111564420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432</xdr:row>
      <xdr:rowOff>0</xdr:rowOff>
    </xdr:from>
    <xdr:to>
      <xdr:col>7</xdr:col>
      <xdr:colOff>876300</xdr:colOff>
      <xdr:row>437</xdr:row>
      <xdr:rowOff>38100</xdr:rowOff>
    </xdr:to>
    <xdr:sp macro="" textlink="">
      <xdr:nvSpPr>
        <xdr:cNvPr id="1057" name="pimg_3" descr="data:image/gif;base64,R0lGODlhAQABAIAAAP///////yH5BAEKAAEALAAAAAABAAEAAAICTAEAOw=="/>
        <xdr:cNvSpPr>
          <a:spLocks noChangeAspect="1" noChangeArrowheads="1"/>
        </xdr:cNvSpPr>
      </xdr:nvSpPr>
      <xdr:spPr bwMode="auto">
        <a:xfrm>
          <a:off x="11635740" y="113393220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442</xdr:row>
      <xdr:rowOff>0</xdr:rowOff>
    </xdr:from>
    <xdr:to>
      <xdr:col>7</xdr:col>
      <xdr:colOff>876300</xdr:colOff>
      <xdr:row>447</xdr:row>
      <xdr:rowOff>38100</xdr:rowOff>
    </xdr:to>
    <xdr:sp macro="" textlink="">
      <xdr:nvSpPr>
        <xdr:cNvPr id="1058" name="pimg_1" descr="data:image/gif;base64,R0lGODlhAQABAIAAAP///////yH5BAEKAAEALAAAAAABAAEAAAICTAEAOw=="/>
        <xdr:cNvSpPr>
          <a:spLocks noChangeAspect="1" noChangeArrowheads="1"/>
        </xdr:cNvSpPr>
      </xdr:nvSpPr>
      <xdr:spPr bwMode="auto">
        <a:xfrm>
          <a:off x="11635740" y="115222020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451</xdr:row>
      <xdr:rowOff>0</xdr:rowOff>
    </xdr:from>
    <xdr:to>
      <xdr:col>7</xdr:col>
      <xdr:colOff>304800</xdr:colOff>
      <xdr:row>452</xdr:row>
      <xdr:rowOff>137159</xdr:rowOff>
    </xdr:to>
    <xdr:sp macro="" textlink="">
      <xdr:nvSpPr>
        <xdr:cNvPr id="1059" name="dimg_15" descr="Galão de tinta acrílica 18 litros de www.shoptime.com.br">
          <a:hlinkClick xmlns:r="http://schemas.openxmlformats.org/officeDocument/2006/relationships" r:id="rId19"/>
        </xdr:cNvPr>
        <xdr:cNvSpPr>
          <a:spLocks noChangeAspect="1" noChangeArrowheads="1"/>
        </xdr:cNvSpPr>
      </xdr:nvSpPr>
      <xdr:spPr bwMode="auto">
        <a:xfrm>
          <a:off x="11635740" y="119611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455</xdr:row>
      <xdr:rowOff>0</xdr:rowOff>
    </xdr:from>
    <xdr:to>
      <xdr:col>7</xdr:col>
      <xdr:colOff>304800</xdr:colOff>
      <xdr:row>456</xdr:row>
      <xdr:rowOff>137161</xdr:rowOff>
    </xdr:to>
    <xdr:sp macro="" textlink="">
      <xdr:nvSpPr>
        <xdr:cNvPr id="1060" name="dimg_27" descr="Galão de tinta acrílica 18 litros de www.extra.com.br">
          <a:hlinkClick xmlns:r="http://schemas.openxmlformats.org/officeDocument/2006/relationships" r:id="rId20"/>
        </xdr:cNvPr>
        <xdr:cNvSpPr>
          <a:spLocks noChangeAspect="1" noChangeArrowheads="1"/>
        </xdr:cNvSpPr>
      </xdr:nvSpPr>
      <xdr:spPr bwMode="auto">
        <a:xfrm>
          <a:off x="11635740" y="12416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459</xdr:row>
      <xdr:rowOff>0</xdr:rowOff>
    </xdr:from>
    <xdr:to>
      <xdr:col>7</xdr:col>
      <xdr:colOff>304800</xdr:colOff>
      <xdr:row>460</xdr:row>
      <xdr:rowOff>137161</xdr:rowOff>
    </xdr:to>
    <xdr:sp macro="" textlink="">
      <xdr:nvSpPr>
        <xdr:cNvPr id="1061" name="dimg_9" descr="Galão de tinta acrílica 18 litros de www.cec.com.br">
          <a:hlinkClick xmlns:r="http://schemas.openxmlformats.org/officeDocument/2006/relationships" r:id="rId21"/>
        </xdr:cNvPr>
        <xdr:cNvSpPr>
          <a:spLocks noChangeAspect="1" noChangeArrowheads="1"/>
        </xdr:cNvSpPr>
      </xdr:nvSpPr>
      <xdr:spPr bwMode="auto">
        <a:xfrm>
          <a:off x="11635740" y="129219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463</xdr:row>
      <xdr:rowOff>0</xdr:rowOff>
    </xdr:from>
    <xdr:to>
      <xdr:col>7</xdr:col>
      <xdr:colOff>304800</xdr:colOff>
      <xdr:row>464</xdr:row>
      <xdr:rowOff>137160</xdr:rowOff>
    </xdr:to>
    <xdr:sp macro="" textlink="">
      <xdr:nvSpPr>
        <xdr:cNvPr id="1062" name="dimg_19" descr="Galão de tinta acrílica 18 litros de www.magazineluiza.com.br">
          <a:hlinkClick xmlns:r="http://schemas.openxmlformats.org/officeDocument/2006/relationships" r:id="rId22"/>
        </xdr:cNvPr>
        <xdr:cNvSpPr>
          <a:spLocks noChangeAspect="1" noChangeArrowheads="1"/>
        </xdr:cNvSpPr>
      </xdr:nvSpPr>
      <xdr:spPr bwMode="auto">
        <a:xfrm>
          <a:off x="11635740" y="133852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467</xdr:row>
      <xdr:rowOff>0</xdr:rowOff>
    </xdr:from>
    <xdr:to>
      <xdr:col>7</xdr:col>
      <xdr:colOff>304800</xdr:colOff>
      <xdr:row>468</xdr:row>
      <xdr:rowOff>137161</xdr:rowOff>
    </xdr:to>
    <xdr:sp macro="" textlink="">
      <xdr:nvSpPr>
        <xdr:cNvPr id="1063" name="dimg_7" descr="Galão de tinta acrílica 18 litros de www.submarino.com.br">
          <a:hlinkClick xmlns:r="http://schemas.openxmlformats.org/officeDocument/2006/relationships" r:id="rId23"/>
        </xdr:cNvPr>
        <xdr:cNvSpPr>
          <a:spLocks noChangeAspect="1" noChangeArrowheads="1"/>
        </xdr:cNvSpPr>
      </xdr:nvSpPr>
      <xdr:spPr bwMode="auto">
        <a:xfrm>
          <a:off x="11635740" y="139270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471</xdr:row>
      <xdr:rowOff>0</xdr:rowOff>
    </xdr:from>
    <xdr:to>
      <xdr:col>7</xdr:col>
      <xdr:colOff>304800</xdr:colOff>
      <xdr:row>472</xdr:row>
      <xdr:rowOff>137159</xdr:rowOff>
    </xdr:to>
    <xdr:sp macro="" textlink="">
      <xdr:nvSpPr>
        <xdr:cNvPr id="1064" name="dimg_35" descr="Galão de tinta acrílica 18 litros de www.zoom.com.br">
          <a:hlinkClick xmlns:r="http://schemas.openxmlformats.org/officeDocument/2006/relationships" r:id="rId24"/>
        </xdr:cNvPr>
        <xdr:cNvSpPr>
          <a:spLocks noChangeAspect="1" noChangeArrowheads="1"/>
        </xdr:cNvSpPr>
      </xdr:nvSpPr>
      <xdr:spPr bwMode="auto">
        <a:xfrm>
          <a:off x="11635740" y="1435379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490</xdr:row>
      <xdr:rowOff>0</xdr:rowOff>
    </xdr:from>
    <xdr:to>
      <xdr:col>7</xdr:col>
      <xdr:colOff>304800</xdr:colOff>
      <xdr:row>491</xdr:row>
      <xdr:rowOff>137159</xdr:rowOff>
    </xdr:to>
    <xdr:sp macro="" textlink="">
      <xdr:nvSpPr>
        <xdr:cNvPr id="1065" name="AutoShape 41" descr="data:image/png;base64,iVBORw0KGgoAAAANSUhEUgAAADAAAAAwBAMAAAClLOS0AAAAD1BMVEVMaXH///////////////9FpdmZAAAABXRSTlMAI6b+V9IpL9cAAAB5SURBVHgBzdMBBoBAFEXRV1pAtIRZQU0LiPa/pyiuXD6AemA4rgE/v93Q+rOEx72lF9Aq6DXktbOAyUUIDAS7gOAQEERAYCAwEBgIDATPAAIDgYHAQKDPCQwEBgIDgWEgcNEIBCOBIHMF+QqYz0DbdDhs1akRzPnrLiR1Pf4dNEJhAAAAAElFTkSuQmCC">
          <a:hlinkClick xmlns:r="http://schemas.openxmlformats.org/officeDocument/2006/relationships" r:id="rId25" tgtFrame="_blank"/>
        </xdr:cNvPr>
        <xdr:cNvSpPr>
          <a:spLocks noChangeAspect="1" noChangeArrowheads="1"/>
        </xdr:cNvSpPr>
      </xdr:nvSpPr>
      <xdr:spPr bwMode="auto">
        <a:xfrm>
          <a:off x="11635740" y="158579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7</xdr:col>
      <xdr:colOff>304800</xdr:colOff>
      <xdr:row>227</xdr:row>
      <xdr:rowOff>121922</xdr:rowOff>
    </xdr:to>
    <xdr:sp macro="" textlink="">
      <xdr:nvSpPr>
        <xdr:cNvPr id="3" name="AutoShape 27" descr="blob:https://web.whatsapp.com/7be81d1e-b666-43c4-ba0e-f6ca766da0b2"/>
        <xdr:cNvSpPr>
          <a:spLocks noChangeAspect="1" noChangeArrowheads="1"/>
        </xdr:cNvSpPr>
      </xdr:nvSpPr>
      <xdr:spPr bwMode="auto">
        <a:xfrm>
          <a:off x="10012680" y="363550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35781</xdr:colOff>
          <xdr:row>372</xdr:row>
          <xdr:rowOff>54334</xdr:rowOff>
        </xdr:from>
        <xdr:to>
          <xdr:col>9</xdr:col>
          <xdr:colOff>777571</xdr:colOff>
          <xdr:row>373</xdr:row>
          <xdr:rowOff>155382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35781</xdr:colOff>
          <xdr:row>373</xdr:row>
          <xdr:rowOff>71562</xdr:rowOff>
        </xdr:from>
        <xdr:to>
          <xdr:col>8</xdr:col>
          <xdr:colOff>30811</xdr:colOff>
          <xdr:row>375</xdr:row>
          <xdr:rowOff>6957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35781</xdr:colOff>
          <xdr:row>374</xdr:row>
          <xdr:rowOff>81170</xdr:rowOff>
        </xdr:from>
        <xdr:to>
          <xdr:col>10</xdr:col>
          <xdr:colOff>36443</xdr:colOff>
          <xdr:row>376</xdr:row>
          <xdr:rowOff>16565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35781</xdr:colOff>
          <xdr:row>378</xdr:row>
          <xdr:rowOff>157701</xdr:rowOff>
        </xdr:from>
        <xdr:to>
          <xdr:col>8</xdr:col>
          <xdr:colOff>30811</xdr:colOff>
          <xdr:row>380</xdr:row>
          <xdr:rowOff>93097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35781</xdr:colOff>
          <xdr:row>380</xdr:row>
          <xdr:rowOff>1657</xdr:rowOff>
        </xdr:from>
        <xdr:to>
          <xdr:col>10</xdr:col>
          <xdr:colOff>36443</xdr:colOff>
          <xdr:row>381</xdr:row>
          <xdr:rowOff>102704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CTR/Desktop/Custos_LIMPEZA_versao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Km de varrição"/>
      <sheetName val="Massa"/>
      <sheetName val="Roteiro"/>
      <sheetName val="Custo"/>
      <sheetName val="Plan2"/>
      <sheetName val="Plan1"/>
      <sheetName val="BDI"/>
      <sheetName val="Uniformes_Higienizações"/>
      <sheetName val="Orçamentos"/>
      <sheetName val="Plan3"/>
      <sheetName val="VARRIÇÃO"/>
      <sheetName val="CAPINA"/>
      <sheetName val="PINTURA"/>
      <sheetName val="PODA"/>
      <sheetName val="GERAL"/>
      <sheetName val="Orçamentos ES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F8">
            <v>13.153333333333334</v>
          </cell>
        </row>
        <row r="9">
          <cell r="F9">
            <v>46.036666666666669</v>
          </cell>
        </row>
        <row r="10">
          <cell r="F10">
            <v>79.33</v>
          </cell>
        </row>
        <row r="11">
          <cell r="F11">
            <v>14.973333333333334</v>
          </cell>
        </row>
        <row r="12">
          <cell r="F12">
            <v>19.263333333333332</v>
          </cell>
        </row>
        <row r="13">
          <cell r="F13">
            <v>25.389999999999997</v>
          </cell>
        </row>
        <row r="14">
          <cell r="F14">
            <v>202.98333333333335</v>
          </cell>
        </row>
        <row r="15">
          <cell r="F15">
            <v>10.396666666666667</v>
          </cell>
        </row>
        <row r="18">
          <cell r="F18">
            <v>9.7799999999999994</v>
          </cell>
        </row>
        <row r="22">
          <cell r="F22">
            <v>28.889999999999997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nditestrs.org.br/strs/legislacao/b9405210db4643c28fe60593610a0681.pdf" TargetMode="External"/><Relationship Id="rId3" Type="http://schemas.openxmlformats.org/officeDocument/2006/relationships/hyperlink" Target="http://seeac-rs.com.br/arquivos/2023.pdf" TargetMode="External"/><Relationship Id="rId7" Type="http://schemas.openxmlformats.org/officeDocument/2006/relationships/hyperlink" Target="https://sindirodosul.org.br/website2017/wp-content/uploads/2017/02/Conven%C3%A7%C3%A3o-Locadoras-2021-2022-REGISTRADA.pdf" TargetMode="External"/><Relationship Id="rId2" Type="http://schemas.openxmlformats.org/officeDocument/2006/relationships/hyperlink" Target="http://seeac-rs.com.br/arquivos/2023.pdf" TargetMode="External"/><Relationship Id="rId1" Type="http://schemas.openxmlformats.org/officeDocument/2006/relationships/hyperlink" Target="https://www.salario.com.br/tabela-salarial/?cargos=O" TargetMode="External"/><Relationship Id="rId6" Type="http://schemas.openxmlformats.org/officeDocument/2006/relationships/hyperlink" Target="http://seeac-rs.com.br/arquivos/2023.pd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seeac-rs.com.br/arquivos/2023.pdf" TargetMode="External"/><Relationship Id="rId10" Type="http://schemas.openxmlformats.org/officeDocument/2006/relationships/hyperlink" Target="https://www.salario.com.br/tabela-salarial/?cargos=O" TargetMode="External"/><Relationship Id="rId4" Type="http://schemas.openxmlformats.org/officeDocument/2006/relationships/hyperlink" Target="http://seeac-rs.com.br/arquivos/2023.pdf" TargetMode="External"/><Relationship Id="rId9" Type="http://schemas.openxmlformats.org/officeDocument/2006/relationships/hyperlink" Target="https://www.salario.com.br/tabela-salarial/?cargos=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"/>
  <sheetViews>
    <sheetView workbookViewId="0">
      <selection activeCell="D10" sqref="D10"/>
    </sheetView>
  </sheetViews>
  <sheetFormatPr defaultRowHeight="14.4" x14ac:dyDescent="0.3"/>
  <cols>
    <col min="2" max="2" width="26" bestFit="1" customWidth="1"/>
  </cols>
  <sheetData>
    <row r="1" spans="2:2" ht="15" thickBot="1" x14ac:dyDescent="0.35"/>
    <row r="2" spans="2:2" ht="15" thickBot="1" x14ac:dyDescent="0.35">
      <c r="B2" s="124" t="s">
        <v>169</v>
      </c>
    </row>
    <row r="3" spans="2:2" ht="15" thickBot="1" x14ac:dyDescent="0.35">
      <c r="B3" s="120" t="s">
        <v>164</v>
      </c>
    </row>
    <row r="4" spans="2:2" ht="15" thickBot="1" x14ac:dyDescent="0.35">
      <c r="B4" s="121" t="s">
        <v>165</v>
      </c>
    </row>
    <row r="5" spans="2:2" ht="15" thickBot="1" x14ac:dyDescent="0.35">
      <c r="B5" s="122" t="s">
        <v>166</v>
      </c>
    </row>
    <row r="6" spans="2:2" ht="15" thickBot="1" x14ac:dyDescent="0.35">
      <c r="B6" s="147" t="s">
        <v>167</v>
      </c>
    </row>
    <row r="7" spans="2:2" ht="15" thickBot="1" x14ac:dyDescent="0.35">
      <c r="B7" s="148" t="s">
        <v>173</v>
      </c>
    </row>
    <row r="8" spans="2:2" ht="15" thickBot="1" x14ac:dyDescent="0.35">
      <c r="B8" s="123" t="s">
        <v>168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K251"/>
  <sheetViews>
    <sheetView tabSelected="1" zoomScale="115" zoomScaleNormal="115" workbookViewId="0">
      <selection activeCell="C123" sqref="C123:C125"/>
    </sheetView>
  </sheetViews>
  <sheetFormatPr defaultColWidth="8.88671875" defaultRowHeight="13.2" x14ac:dyDescent="0.25"/>
  <cols>
    <col min="1" max="1" width="65.33203125" style="1" customWidth="1"/>
    <col min="2" max="2" width="18.5546875" style="1" customWidth="1"/>
    <col min="3" max="3" width="11" style="1" bestFit="1" customWidth="1"/>
    <col min="4" max="4" width="9.88671875" style="1" customWidth="1"/>
    <col min="5" max="6" width="11.21875" style="1" customWidth="1"/>
    <col min="7" max="7" width="18.5546875" style="1" customWidth="1"/>
    <col min="8" max="8" width="12.88671875" style="1" customWidth="1"/>
    <col min="9" max="9" width="8.88671875" style="1"/>
    <col min="10" max="10" width="13.109375" style="1" bestFit="1" customWidth="1"/>
    <col min="11" max="16384" width="8.88671875" style="1"/>
  </cols>
  <sheetData>
    <row r="1" spans="1:7" x14ac:dyDescent="0.25">
      <c r="A1" s="337" t="s">
        <v>0</v>
      </c>
      <c r="B1" s="337"/>
      <c r="C1" s="337"/>
      <c r="D1" s="337"/>
      <c r="E1" s="337"/>
      <c r="F1" s="337"/>
      <c r="G1" s="337"/>
    </row>
    <row r="3" spans="1:7" x14ac:dyDescent="0.25">
      <c r="A3" s="223"/>
      <c r="B3" s="223"/>
      <c r="C3" s="223"/>
      <c r="D3" s="223"/>
      <c r="E3" s="231"/>
      <c r="F3" s="223"/>
      <c r="G3" s="223"/>
    </row>
    <row r="4" spans="1:7" x14ac:dyDescent="0.25">
      <c r="A4" s="224" t="s">
        <v>1</v>
      </c>
      <c r="B4" s="223"/>
      <c r="C4" s="223"/>
      <c r="D4" s="223"/>
      <c r="E4" s="231"/>
      <c r="F4" s="223"/>
      <c r="G4" s="223"/>
    </row>
    <row r="5" spans="1:7" ht="13.8" thickBot="1" x14ac:dyDescent="0.3">
      <c r="A5" s="224"/>
      <c r="B5" s="223"/>
      <c r="C5" s="223"/>
      <c r="D5" s="223"/>
      <c r="E5" s="231"/>
      <c r="F5" s="223"/>
      <c r="G5" s="223"/>
    </row>
    <row r="6" spans="1:7" ht="13.8" thickBot="1" x14ac:dyDescent="0.3">
      <c r="A6" s="169" t="s">
        <v>2</v>
      </c>
      <c r="B6" s="170" t="s">
        <v>3</v>
      </c>
      <c r="C6" s="339" t="s">
        <v>4</v>
      </c>
      <c r="D6" s="340"/>
      <c r="E6" s="234"/>
      <c r="F6" s="223"/>
      <c r="G6" s="223"/>
    </row>
    <row r="7" spans="1:7" x14ac:dyDescent="0.25">
      <c r="A7" s="2" t="s">
        <v>5</v>
      </c>
      <c r="B7" s="3">
        <f>G110</f>
        <v>242593.52242730002</v>
      </c>
      <c r="C7" s="341">
        <f>(B7*$C$12)/$B$12</f>
        <v>69.519985055582637</v>
      </c>
      <c r="D7" s="342"/>
      <c r="E7" s="261"/>
      <c r="F7" s="223"/>
      <c r="G7" s="223"/>
    </row>
    <row r="8" spans="1:7" x14ac:dyDescent="0.25">
      <c r="A8" s="4" t="s">
        <v>6</v>
      </c>
      <c r="B8" s="3">
        <f>G144</f>
        <v>15835.542777777775</v>
      </c>
      <c r="C8" s="343">
        <f t="shared" ref="C8:C10" si="0">(B8*$C$12)/$B$12</f>
        <v>4.537988839285938</v>
      </c>
      <c r="D8" s="344"/>
      <c r="E8" s="261"/>
      <c r="F8" s="223"/>
      <c r="G8" s="223"/>
    </row>
    <row r="9" spans="1:7" x14ac:dyDescent="0.25">
      <c r="A9" s="4" t="s">
        <v>7</v>
      </c>
      <c r="B9" s="3">
        <f>G197</f>
        <v>4864.6031466666664</v>
      </c>
      <c r="C9" s="343">
        <f t="shared" si="0"/>
        <v>1.3940485082776857</v>
      </c>
      <c r="D9" s="344"/>
      <c r="E9" s="261"/>
      <c r="F9" s="223"/>
      <c r="G9" s="223"/>
    </row>
    <row r="10" spans="1:7" x14ac:dyDescent="0.25">
      <c r="A10" s="4" t="s">
        <v>8</v>
      </c>
      <c r="B10" s="3">
        <f>G238</f>
        <v>9476.6625000000004</v>
      </c>
      <c r="C10" s="343">
        <f t="shared" si="0"/>
        <v>2.7157255840342298</v>
      </c>
      <c r="D10" s="344"/>
      <c r="E10" s="261"/>
      <c r="F10" s="223"/>
      <c r="G10" s="223"/>
    </row>
    <row r="11" spans="1:7" ht="13.8" thickBot="1" x14ac:dyDescent="0.3">
      <c r="A11" s="165" t="s">
        <v>9</v>
      </c>
      <c r="B11" s="166">
        <f>G245</f>
        <v>76184.753406892225</v>
      </c>
      <c r="C11" s="345">
        <f>(B11*$C$12)/$B$12</f>
        <v>21.832252012819509</v>
      </c>
      <c r="D11" s="346"/>
      <c r="E11" s="261"/>
      <c r="F11" s="223"/>
      <c r="G11" s="223"/>
    </row>
    <row r="12" spans="1:7" ht="13.8" thickBot="1" x14ac:dyDescent="0.3">
      <c r="A12" s="167" t="s">
        <v>10</v>
      </c>
      <c r="B12" s="168">
        <f>SUM(B7:B11)</f>
        <v>348955.08425863669</v>
      </c>
      <c r="C12" s="347">
        <v>100</v>
      </c>
      <c r="D12" s="348"/>
      <c r="E12" s="261"/>
      <c r="F12" s="223"/>
      <c r="G12" s="223"/>
    </row>
    <row r="13" spans="1:7" x14ac:dyDescent="0.25">
      <c r="B13" s="163"/>
      <c r="C13" s="163"/>
      <c r="D13" s="164"/>
      <c r="E13" s="164"/>
      <c r="F13" s="223"/>
      <c r="G13" s="223"/>
    </row>
    <row r="14" spans="1:7" x14ac:dyDescent="0.25">
      <c r="A14" s="5"/>
      <c r="B14" s="223"/>
      <c r="C14" s="223"/>
      <c r="D14" s="223"/>
      <c r="E14" s="231"/>
      <c r="F14" s="223"/>
      <c r="G14" s="223"/>
    </row>
    <row r="15" spans="1:7" x14ac:dyDescent="0.25">
      <c r="A15" s="338" t="s">
        <v>11</v>
      </c>
      <c r="B15" s="338"/>
      <c r="C15" s="338"/>
      <c r="D15" s="338"/>
      <c r="E15" s="338"/>
      <c r="F15" s="338"/>
      <c r="G15" s="338"/>
    </row>
    <row r="16" spans="1:7" ht="15" customHeight="1" thickBot="1" x14ac:dyDescent="0.3"/>
    <row r="17" spans="1:7" ht="15" customHeight="1" thickBot="1" x14ac:dyDescent="0.3">
      <c r="A17" s="125" t="s">
        <v>175</v>
      </c>
      <c r="B17" s="219" t="s">
        <v>12</v>
      </c>
      <c r="C17" s="284" t="s">
        <v>13</v>
      </c>
      <c r="D17" s="285"/>
      <c r="E17" s="284" t="s">
        <v>14</v>
      </c>
      <c r="F17" s="285"/>
      <c r="G17" s="33" t="s">
        <v>15</v>
      </c>
    </row>
    <row r="18" spans="1:7" ht="15" customHeight="1" x14ac:dyDescent="0.25">
      <c r="A18" s="77" t="s">
        <v>16</v>
      </c>
      <c r="B18" s="126" t="s">
        <v>17</v>
      </c>
      <c r="C18" s="325">
        <v>220</v>
      </c>
      <c r="D18" s="326"/>
      <c r="E18" s="377">
        <f>G18/C18</f>
        <v>6.5047272727272727</v>
      </c>
      <c r="F18" s="378"/>
      <c r="G18" s="127">
        <f>ORÇAMENTOS!B5</f>
        <v>1431.04</v>
      </c>
    </row>
    <row r="19" spans="1:7" ht="15" customHeight="1" x14ac:dyDescent="0.25">
      <c r="A19" s="34" t="s">
        <v>18</v>
      </c>
      <c r="B19" s="218" t="s">
        <v>52</v>
      </c>
      <c r="C19" s="282">
        <v>20</v>
      </c>
      <c r="D19" s="283"/>
      <c r="E19" s="282" t="s">
        <v>20</v>
      </c>
      <c r="F19" s="283"/>
      <c r="G19" s="13">
        <f>G18*(C19/100)</f>
        <v>286.20800000000003</v>
      </c>
    </row>
    <row r="20" spans="1:7" ht="15" customHeight="1" thickBot="1" x14ac:dyDescent="0.3">
      <c r="A20" s="255" t="s">
        <v>21</v>
      </c>
      <c r="B20" s="256" t="s">
        <v>52</v>
      </c>
      <c r="C20" s="327">
        <v>69.19</v>
      </c>
      <c r="D20" s="328"/>
      <c r="E20" s="364">
        <f>G18+G19</f>
        <v>1717.248</v>
      </c>
      <c r="F20" s="365"/>
      <c r="G20" s="257">
        <f>E20*(C20/100)</f>
        <v>1188.1638911999999</v>
      </c>
    </row>
    <row r="21" spans="1:7" ht="15" customHeight="1" thickBot="1" x14ac:dyDescent="0.3">
      <c r="A21" s="6" t="s">
        <v>22</v>
      </c>
      <c r="B21" s="16" t="s">
        <v>23</v>
      </c>
      <c r="C21" s="329">
        <v>24</v>
      </c>
      <c r="D21" s="330"/>
      <c r="E21" s="366">
        <f>G18+G20+G19</f>
        <v>2905.4118911999999</v>
      </c>
      <c r="F21" s="367"/>
      <c r="G21" s="251">
        <f>E21*C21</f>
        <v>69729.885388800001</v>
      </c>
    </row>
    <row r="22" spans="1:7" ht="15" customHeight="1" thickBot="1" x14ac:dyDescent="0.3">
      <c r="C22" s="321"/>
      <c r="D22" s="321"/>
      <c r="E22" s="321"/>
      <c r="F22" s="321"/>
    </row>
    <row r="23" spans="1:7" ht="15" customHeight="1" thickBot="1" x14ac:dyDescent="0.3">
      <c r="A23" s="125" t="s">
        <v>176</v>
      </c>
      <c r="B23" s="219" t="s">
        <v>12</v>
      </c>
      <c r="C23" s="284" t="s">
        <v>13</v>
      </c>
      <c r="D23" s="285"/>
      <c r="E23" s="284" t="s">
        <v>14</v>
      </c>
      <c r="F23" s="285"/>
      <c r="G23" s="33" t="s">
        <v>15</v>
      </c>
    </row>
    <row r="24" spans="1:7" ht="15" customHeight="1" x14ac:dyDescent="0.25">
      <c r="A24" s="77" t="s">
        <v>16</v>
      </c>
      <c r="B24" s="126" t="s">
        <v>17</v>
      </c>
      <c r="C24" s="325">
        <v>220</v>
      </c>
      <c r="D24" s="326"/>
      <c r="E24" s="377">
        <f>G24/C24</f>
        <v>6.5047272727272727</v>
      </c>
      <c r="F24" s="378"/>
      <c r="G24" s="127">
        <f>ORÇAMENTOS!B6</f>
        <v>1431.04</v>
      </c>
    </row>
    <row r="25" spans="1:7" ht="15" customHeight="1" x14ac:dyDescent="0.25">
      <c r="A25" s="34" t="s">
        <v>18</v>
      </c>
      <c r="B25" s="218" t="s">
        <v>52</v>
      </c>
      <c r="C25" s="282">
        <v>40</v>
      </c>
      <c r="D25" s="283"/>
      <c r="E25" s="282" t="s">
        <v>20</v>
      </c>
      <c r="F25" s="283"/>
      <c r="G25" s="13">
        <f>G24*(C25/100)</f>
        <v>572.41600000000005</v>
      </c>
    </row>
    <row r="26" spans="1:7" ht="15" customHeight="1" thickBot="1" x14ac:dyDescent="0.3">
      <c r="A26" s="255" t="s">
        <v>21</v>
      </c>
      <c r="B26" s="256" t="s">
        <v>52</v>
      </c>
      <c r="C26" s="327">
        <v>69.19</v>
      </c>
      <c r="D26" s="328"/>
      <c r="E26" s="364">
        <f>G24+G25</f>
        <v>2003.4560000000001</v>
      </c>
      <c r="F26" s="365"/>
      <c r="G26" s="257">
        <f>E26*(C26/100)</f>
        <v>1386.1912064000001</v>
      </c>
    </row>
    <row r="27" spans="1:7" ht="15" customHeight="1" thickBot="1" x14ac:dyDescent="0.3">
      <c r="A27" s="6" t="s">
        <v>22</v>
      </c>
      <c r="B27" s="16" t="s">
        <v>23</v>
      </c>
      <c r="C27" s="329">
        <v>2</v>
      </c>
      <c r="D27" s="330"/>
      <c r="E27" s="366">
        <f>G24+G25+G26</f>
        <v>3389.6472064</v>
      </c>
      <c r="F27" s="367"/>
      <c r="G27" s="251">
        <f>E27*C27</f>
        <v>6779.2944127999999</v>
      </c>
    </row>
    <row r="28" spans="1:7" ht="15" customHeight="1" thickBot="1" x14ac:dyDescent="0.3">
      <c r="C28" s="225"/>
      <c r="D28" s="225"/>
      <c r="E28" s="321"/>
      <c r="F28" s="321"/>
    </row>
    <row r="29" spans="1:7" ht="15" customHeight="1" thickBot="1" x14ac:dyDescent="0.3">
      <c r="A29" s="32" t="s">
        <v>177</v>
      </c>
      <c r="B29" s="219" t="s">
        <v>12</v>
      </c>
      <c r="C29" s="284" t="s">
        <v>13</v>
      </c>
      <c r="D29" s="285"/>
      <c r="E29" s="284" t="s">
        <v>14</v>
      </c>
      <c r="F29" s="285"/>
      <c r="G29" s="33" t="s">
        <v>15</v>
      </c>
    </row>
    <row r="30" spans="1:7" ht="15" customHeight="1" x14ac:dyDescent="0.25">
      <c r="A30" s="45" t="s">
        <v>16</v>
      </c>
      <c r="B30" s="226" t="s">
        <v>17</v>
      </c>
      <c r="C30" s="323">
        <v>220</v>
      </c>
      <c r="D30" s="324"/>
      <c r="E30" s="373">
        <f>+G30/C30</f>
        <v>6.6292727272727276</v>
      </c>
      <c r="F30" s="374"/>
      <c r="G30" s="127">
        <f>ORÇAMENTOS!B7</f>
        <v>1458.44</v>
      </c>
    </row>
    <row r="31" spans="1:7" ht="15" customHeight="1" x14ac:dyDescent="0.25">
      <c r="A31" s="34" t="s">
        <v>18</v>
      </c>
      <c r="B31" s="218" t="s">
        <v>52</v>
      </c>
      <c r="C31" s="280">
        <v>40</v>
      </c>
      <c r="D31" s="281"/>
      <c r="E31" s="282" t="s">
        <v>20</v>
      </c>
      <c r="F31" s="283"/>
      <c r="G31" s="13">
        <f>G30*(C31/100)</f>
        <v>583.37600000000009</v>
      </c>
    </row>
    <row r="32" spans="1:7" ht="15" customHeight="1" thickBot="1" x14ac:dyDescent="0.3">
      <c r="A32" s="258" t="s">
        <v>21</v>
      </c>
      <c r="B32" s="14" t="s">
        <v>19</v>
      </c>
      <c r="C32" s="327">
        <v>69.19</v>
      </c>
      <c r="D32" s="328"/>
      <c r="E32" s="375">
        <f>G30+G31</f>
        <v>2041.8160000000003</v>
      </c>
      <c r="F32" s="376"/>
      <c r="G32" s="15">
        <f>E32*(C32/100)</f>
        <v>1412.7324904000002</v>
      </c>
    </row>
    <row r="33" spans="1:7" ht="15" customHeight="1" thickBot="1" x14ac:dyDescent="0.3">
      <c r="A33" s="6" t="s">
        <v>22</v>
      </c>
      <c r="B33" s="16" t="s">
        <v>23</v>
      </c>
      <c r="C33" s="329">
        <v>8</v>
      </c>
      <c r="D33" s="330"/>
      <c r="E33" s="366">
        <f>G30+G31+G32</f>
        <v>3454.5484904000004</v>
      </c>
      <c r="F33" s="367"/>
      <c r="G33" s="251">
        <f>E33*C33</f>
        <v>27636.387923200004</v>
      </c>
    </row>
    <row r="34" spans="1:7" ht="15" customHeight="1" thickBot="1" x14ac:dyDescent="0.3">
      <c r="C34" s="321"/>
      <c r="D34" s="321"/>
      <c r="E34" s="321" t="s">
        <v>183</v>
      </c>
      <c r="F34" s="321"/>
    </row>
    <row r="35" spans="1:7" ht="15" customHeight="1" thickBot="1" x14ac:dyDescent="0.3">
      <c r="A35" s="125" t="s">
        <v>222</v>
      </c>
      <c r="B35" s="219" t="s">
        <v>12</v>
      </c>
      <c r="C35" s="284" t="s">
        <v>13</v>
      </c>
      <c r="D35" s="285"/>
      <c r="E35" s="284" t="s">
        <v>14</v>
      </c>
      <c r="F35" s="285"/>
      <c r="G35" s="33" t="s">
        <v>15</v>
      </c>
    </row>
    <row r="36" spans="1:7" ht="15" customHeight="1" x14ac:dyDescent="0.25">
      <c r="A36" s="77" t="s">
        <v>16</v>
      </c>
      <c r="B36" s="126" t="s">
        <v>17</v>
      </c>
      <c r="C36" s="325">
        <v>220</v>
      </c>
      <c r="D36" s="326"/>
      <c r="E36" s="377">
        <f>G36/C36</f>
        <v>6.6292727272727276</v>
      </c>
      <c r="F36" s="378"/>
      <c r="G36" s="127">
        <f>ORÇAMENTOS!B8</f>
        <v>1458.44</v>
      </c>
    </row>
    <row r="37" spans="1:7" ht="15" customHeight="1" x14ac:dyDescent="0.25">
      <c r="A37" s="34" t="s">
        <v>18</v>
      </c>
      <c r="B37" s="218" t="s">
        <v>52</v>
      </c>
      <c r="C37" s="280">
        <v>40</v>
      </c>
      <c r="D37" s="281"/>
      <c r="E37" s="282" t="s">
        <v>20</v>
      </c>
      <c r="F37" s="283"/>
      <c r="G37" s="13">
        <f>G36*(C37/100)</f>
        <v>583.37600000000009</v>
      </c>
    </row>
    <row r="38" spans="1:7" ht="15" customHeight="1" thickBot="1" x14ac:dyDescent="0.3">
      <c r="A38" s="255" t="s">
        <v>21</v>
      </c>
      <c r="B38" s="256" t="s">
        <v>52</v>
      </c>
      <c r="C38" s="327">
        <v>69.19</v>
      </c>
      <c r="D38" s="328"/>
      <c r="E38" s="364">
        <f>G36+G37</f>
        <v>2041.8160000000003</v>
      </c>
      <c r="F38" s="365"/>
      <c r="G38" s="257">
        <f>E38*(C38/100)</f>
        <v>1412.7324904000002</v>
      </c>
    </row>
    <row r="39" spans="1:7" ht="15" customHeight="1" thickBot="1" x14ac:dyDescent="0.3">
      <c r="A39" s="6" t="s">
        <v>22</v>
      </c>
      <c r="B39" s="16" t="s">
        <v>23</v>
      </c>
      <c r="C39" s="329">
        <v>24</v>
      </c>
      <c r="D39" s="330"/>
      <c r="E39" s="366">
        <f>G36+G37+G38</f>
        <v>3454.5484904000004</v>
      </c>
      <c r="F39" s="367"/>
      <c r="G39" s="251">
        <f>E39*C39</f>
        <v>82909.163769600011</v>
      </c>
    </row>
    <row r="40" spans="1:7" ht="15" customHeight="1" thickBot="1" x14ac:dyDescent="0.3">
      <c r="C40" s="321"/>
      <c r="D40" s="321"/>
      <c r="E40" s="321"/>
      <c r="F40" s="321"/>
    </row>
    <row r="41" spans="1:7" ht="15" customHeight="1" thickBot="1" x14ac:dyDescent="0.3">
      <c r="A41" s="125" t="s">
        <v>249</v>
      </c>
      <c r="B41" s="219" t="s">
        <v>12</v>
      </c>
      <c r="C41" s="284" t="s">
        <v>13</v>
      </c>
      <c r="D41" s="285"/>
      <c r="E41" s="284" t="s">
        <v>14</v>
      </c>
      <c r="F41" s="285"/>
      <c r="G41" s="33" t="s">
        <v>15</v>
      </c>
    </row>
    <row r="42" spans="1:7" ht="15" customHeight="1" x14ac:dyDescent="0.25">
      <c r="A42" s="77" t="s">
        <v>16</v>
      </c>
      <c r="B42" s="126" t="s">
        <v>17</v>
      </c>
      <c r="C42" s="325">
        <v>220</v>
      </c>
      <c r="D42" s="326"/>
      <c r="E42" s="377">
        <f>G42/C42</f>
        <v>7.2340454545454547</v>
      </c>
      <c r="F42" s="378"/>
      <c r="G42" s="127">
        <f>ORÇAMENTOS!B9</f>
        <v>1591.49</v>
      </c>
    </row>
    <row r="43" spans="1:7" ht="15" customHeight="1" x14ac:dyDescent="0.25">
      <c r="A43" s="34" t="s">
        <v>18</v>
      </c>
      <c r="B43" s="218" t="s">
        <v>52</v>
      </c>
      <c r="C43" s="280">
        <v>30</v>
      </c>
      <c r="D43" s="281"/>
      <c r="E43" s="282" t="s">
        <v>20</v>
      </c>
      <c r="F43" s="283"/>
      <c r="G43" s="13">
        <f>G42*(C43/100)</f>
        <v>477.447</v>
      </c>
    </row>
    <row r="44" spans="1:7" ht="15" customHeight="1" thickBot="1" x14ac:dyDescent="0.3">
      <c r="A44" s="255" t="s">
        <v>21</v>
      </c>
      <c r="B44" s="256" t="s">
        <v>52</v>
      </c>
      <c r="C44" s="327">
        <v>69.19</v>
      </c>
      <c r="D44" s="328"/>
      <c r="E44" s="364">
        <f>G42+G43</f>
        <v>2068.9369999999999</v>
      </c>
      <c r="F44" s="365"/>
      <c r="G44" s="257">
        <f>E44*(C44/100)</f>
        <v>1431.4975102999999</v>
      </c>
    </row>
    <row r="45" spans="1:7" ht="15" customHeight="1" thickBot="1" x14ac:dyDescent="0.3">
      <c r="A45" s="6" t="s">
        <v>22</v>
      </c>
      <c r="B45" s="16" t="s">
        <v>23</v>
      </c>
      <c r="C45" s="329">
        <v>1</v>
      </c>
      <c r="D45" s="330"/>
      <c r="E45" s="366">
        <f>G42+G43+G44</f>
        <v>3500.4345102999996</v>
      </c>
      <c r="F45" s="367"/>
      <c r="G45" s="251">
        <f>E45*C45</f>
        <v>3500.4345102999996</v>
      </c>
    </row>
    <row r="46" spans="1:7" ht="13.8" thickBot="1" x14ac:dyDescent="0.3">
      <c r="C46" s="321"/>
      <c r="D46" s="321"/>
      <c r="E46" s="321"/>
      <c r="F46" s="321"/>
    </row>
    <row r="47" spans="1:7" ht="15" customHeight="1" thickBot="1" x14ac:dyDescent="0.3">
      <c r="A47" s="32" t="s">
        <v>124</v>
      </c>
      <c r="B47" s="219" t="s">
        <v>12</v>
      </c>
      <c r="C47" s="284" t="s">
        <v>13</v>
      </c>
      <c r="D47" s="285"/>
      <c r="E47" s="284" t="s">
        <v>14</v>
      </c>
      <c r="F47" s="285"/>
      <c r="G47" s="33" t="s">
        <v>15</v>
      </c>
    </row>
    <row r="48" spans="1:7" ht="14.4" customHeight="1" x14ac:dyDescent="0.25">
      <c r="A48" s="77" t="s">
        <v>16</v>
      </c>
      <c r="B48" s="126" t="s">
        <v>17</v>
      </c>
      <c r="C48" s="325">
        <v>220</v>
      </c>
      <c r="D48" s="326"/>
      <c r="E48" s="377">
        <f>G48/C48</f>
        <v>11.616772727272728</v>
      </c>
      <c r="F48" s="378"/>
      <c r="G48" s="127">
        <f>ORÇAMENTOS!B10</f>
        <v>2555.69</v>
      </c>
    </row>
    <row r="49" spans="1:11" ht="14.4" customHeight="1" x14ac:dyDescent="0.25">
      <c r="A49" s="34" t="s">
        <v>18</v>
      </c>
      <c r="B49" s="218" t="s">
        <v>52</v>
      </c>
      <c r="C49" s="280">
        <v>20</v>
      </c>
      <c r="D49" s="281"/>
      <c r="E49" s="282" t="s">
        <v>20</v>
      </c>
      <c r="F49" s="283"/>
      <c r="G49" s="13">
        <f>G48*(C49/100)</f>
        <v>511.13800000000003</v>
      </c>
    </row>
    <row r="50" spans="1:11" ht="15" customHeight="1" thickBot="1" x14ac:dyDescent="0.3">
      <c r="A50" s="255" t="s">
        <v>21</v>
      </c>
      <c r="B50" s="256" t="s">
        <v>52</v>
      </c>
      <c r="C50" s="327">
        <v>69.19</v>
      </c>
      <c r="D50" s="328"/>
      <c r="E50" s="364">
        <f>G48+G49</f>
        <v>3066.828</v>
      </c>
      <c r="F50" s="365"/>
      <c r="G50" s="257">
        <f>E50*(C50/100)</f>
        <v>2121.9382931999999</v>
      </c>
    </row>
    <row r="51" spans="1:11" ht="15" customHeight="1" thickBot="1" x14ac:dyDescent="0.3">
      <c r="A51" s="6" t="s">
        <v>22</v>
      </c>
      <c r="B51" s="16" t="s">
        <v>23</v>
      </c>
      <c r="C51" s="329">
        <v>1</v>
      </c>
      <c r="D51" s="330"/>
      <c r="E51" s="366">
        <f>G48+G49+G50</f>
        <v>5188.7662932000003</v>
      </c>
      <c r="F51" s="367"/>
      <c r="G51" s="251">
        <f>E51*C51</f>
        <v>5188.7662932000003</v>
      </c>
    </row>
    <row r="52" spans="1:11" ht="13.8" thickBot="1" x14ac:dyDescent="0.3">
      <c r="A52" s="17"/>
      <c r="B52" s="221"/>
      <c r="C52" s="322"/>
      <c r="D52" s="322"/>
      <c r="E52" s="322"/>
      <c r="F52" s="322"/>
      <c r="G52" s="44"/>
    </row>
    <row r="53" spans="1:11" ht="15" customHeight="1" thickBot="1" x14ac:dyDescent="0.3">
      <c r="A53" s="32" t="s">
        <v>180</v>
      </c>
      <c r="B53" s="219" t="s">
        <v>12</v>
      </c>
      <c r="C53" s="284" t="s">
        <v>13</v>
      </c>
      <c r="D53" s="285"/>
      <c r="E53" s="284" t="s">
        <v>14</v>
      </c>
      <c r="F53" s="285"/>
      <c r="G53" s="33" t="s">
        <v>15</v>
      </c>
    </row>
    <row r="54" spans="1:11" ht="14.4" customHeight="1" x14ac:dyDescent="0.25">
      <c r="A54" s="77" t="s">
        <v>16</v>
      </c>
      <c r="B54" s="126" t="s">
        <v>17</v>
      </c>
      <c r="C54" s="325">
        <v>220</v>
      </c>
      <c r="D54" s="326"/>
      <c r="E54" s="377">
        <f>G54/C54</f>
        <v>6.5047272727272727</v>
      </c>
      <c r="F54" s="378"/>
      <c r="G54" s="127">
        <f>ORÇAMENTOS!B11</f>
        <v>1431.04</v>
      </c>
    </row>
    <row r="55" spans="1:11" ht="14.4" customHeight="1" x14ac:dyDescent="0.25">
      <c r="A55" s="34" t="s">
        <v>18</v>
      </c>
      <c r="B55" s="218" t="s">
        <v>52</v>
      </c>
      <c r="C55" s="280">
        <v>20</v>
      </c>
      <c r="D55" s="281"/>
      <c r="E55" s="282" t="s">
        <v>20</v>
      </c>
      <c r="F55" s="283"/>
      <c r="G55" s="13">
        <f>G54*(C55/100)</f>
        <v>286.20800000000003</v>
      </c>
    </row>
    <row r="56" spans="1:11" ht="15" customHeight="1" thickBot="1" x14ac:dyDescent="0.3">
      <c r="A56" s="255" t="s">
        <v>21</v>
      </c>
      <c r="B56" s="256" t="s">
        <v>52</v>
      </c>
      <c r="C56" s="327">
        <v>69.19</v>
      </c>
      <c r="D56" s="328"/>
      <c r="E56" s="364">
        <f>G54+G55</f>
        <v>1717.248</v>
      </c>
      <c r="F56" s="365"/>
      <c r="G56" s="257">
        <f>E56*(C56/100)</f>
        <v>1188.1638911999999</v>
      </c>
    </row>
    <row r="57" spans="1:11" ht="15" customHeight="1" thickBot="1" x14ac:dyDescent="0.3">
      <c r="A57" s="6" t="s">
        <v>22</v>
      </c>
      <c r="B57" s="16" t="s">
        <v>23</v>
      </c>
      <c r="C57" s="329">
        <v>1</v>
      </c>
      <c r="D57" s="330"/>
      <c r="E57" s="366">
        <f>G54+G56+G55</f>
        <v>2905.4118911999999</v>
      </c>
      <c r="F57" s="367"/>
      <c r="G57" s="251">
        <f>E57*C57</f>
        <v>2905.4118911999999</v>
      </c>
    </row>
    <row r="58" spans="1:11" ht="13.8" thickBot="1" x14ac:dyDescent="0.3">
      <c r="A58" s="17"/>
      <c r="B58" s="221"/>
      <c r="C58" s="221"/>
      <c r="D58" s="221"/>
      <c r="E58" s="234"/>
      <c r="F58" s="43"/>
      <c r="G58" s="44"/>
    </row>
    <row r="59" spans="1:11" ht="15" customHeight="1" thickBot="1" x14ac:dyDescent="0.3">
      <c r="A59" s="32" t="s">
        <v>181</v>
      </c>
      <c r="B59" s="219" t="s">
        <v>12</v>
      </c>
      <c r="C59" s="284" t="s">
        <v>13</v>
      </c>
      <c r="D59" s="285"/>
      <c r="E59" s="284" t="s">
        <v>14</v>
      </c>
      <c r="F59" s="285"/>
      <c r="G59" s="33" t="s">
        <v>15</v>
      </c>
    </row>
    <row r="60" spans="1:11" ht="14.4" customHeight="1" x14ac:dyDescent="0.25">
      <c r="A60" s="77" t="s">
        <v>16</v>
      </c>
      <c r="B60" s="126" t="s">
        <v>17</v>
      </c>
      <c r="C60" s="325">
        <v>220</v>
      </c>
      <c r="D60" s="326"/>
      <c r="E60" s="377">
        <f>G60/C60</f>
        <v>7.9681818181818178</v>
      </c>
      <c r="F60" s="378"/>
      <c r="G60" s="127">
        <f>ORÇAMENTOS!B12</f>
        <v>1753</v>
      </c>
    </row>
    <row r="61" spans="1:11" ht="14.4" customHeight="1" x14ac:dyDescent="0.25">
      <c r="A61" s="34" t="s">
        <v>18</v>
      </c>
      <c r="B61" s="218" t="s">
        <v>52</v>
      </c>
      <c r="C61" s="282">
        <v>20</v>
      </c>
      <c r="D61" s="283"/>
      <c r="E61" s="282" t="s">
        <v>20</v>
      </c>
      <c r="F61" s="283"/>
      <c r="G61" s="13">
        <f>G60*(C61/100)</f>
        <v>350.6</v>
      </c>
    </row>
    <row r="62" spans="1:11" ht="15" customHeight="1" thickBot="1" x14ac:dyDescent="0.3">
      <c r="A62" s="255" t="s">
        <v>21</v>
      </c>
      <c r="B62" s="256" t="s">
        <v>52</v>
      </c>
      <c r="C62" s="327">
        <v>69.19</v>
      </c>
      <c r="D62" s="328"/>
      <c r="E62" s="364">
        <f>G60+G61</f>
        <v>2103.6</v>
      </c>
      <c r="F62" s="365"/>
      <c r="G62" s="257">
        <f>E62*(C62/100)</f>
        <v>1455.4808399999999</v>
      </c>
    </row>
    <row r="63" spans="1:11" ht="15" customHeight="1" thickBot="1" x14ac:dyDescent="0.3">
      <c r="A63" s="6" t="s">
        <v>22</v>
      </c>
      <c r="B63" s="16" t="s">
        <v>23</v>
      </c>
      <c r="C63" s="329">
        <v>1</v>
      </c>
      <c r="D63" s="330"/>
      <c r="E63" s="366">
        <f>G60+G61+G62</f>
        <v>3559.0808399999996</v>
      </c>
      <c r="F63" s="367"/>
      <c r="G63" s="251">
        <f>E63*C63</f>
        <v>3559.0808399999996</v>
      </c>
    </row>
    <row r="64" spans="1:11" ht="13.8" thickBot="1" x14ac:dyDescent="0.3">
      <c r="A64" s="17"/>
      <c r="B64" s="221"/>
      <c r="C64" s="322"/>
      <c r="D64" s="322"/>
      <c r="E64" s="322"/>
      <c r="F64" s="322"/>
      <c r="G64" s="44"/>
      <c r="I64" s="36"/>
      <c r="J64" s="36"/>
      <c r="K64" s="36"/>
    </row>
    <row r="65" spans="1:11" ht="15" customHeight="1" thickBot="1" x14ac:dyDescent="0.3">
      <c r="A65" s="32" t="s">
        <v>182</v>
      </c>
      <c r="B65" s="219" t="s">
        <v>12</v>
      </c>
      <c r="C65" s="284" t="s">
        <v>13</v>
      </c>
      <c r="D65" s="285"/>
      <c r="E65" s="284" t="s">
        <v>14</v>
      </c>
      <c r="F65" s="285"/>
      <c r="G65" s="33" t="s">
        <v>15</v>
      </c>
      <c r="I65" s="36"/>
      <c r="J65" s="36"/>
      <c r="K65" s="36"/>
    </row>
    <row r="66" spans="1:11" ht="14.4" customHeight="1" x14ac:dyDescent="0.25">
      <c r="A66" s="77" t="s">
        <v>16</v>
      </c>
      <c r="B66" s="126" t="s">
        <v>17</v>
      </c>
      <c r="C66" s="325">
        <v>220</v>
      </c>
      <c r="D66" s="326"/>
      <c r="E66" s="377">
        <f>G66/C66</f>
        <v>23.464636363636366</v>
      </c>
      <c r="F66" s="378"/>
      <c r="G66" s="127">
        <f>ORÇAMENTOS!B13</f>
        <v>5162.22</v>
      </c>
      <c r="H66" s="36"/>
      <c r="I66" s="36"/>
      <c r="J66" s="36"/>
      <c r="K66" s="36"/>
    </row>
    <row r="67" spans="1:11" ht="15" customHeight="1" thickBot="1" x14ac:dyDescent="0.3">
      <c r="A67" s="255" t="s">
        <v>21</v>
      </c>
      <c r="B67" s="256" t="s">
        <v>52</v>
      </c>
      <c r="C67" s="327">
        <v>69.19</v>
      </c>
      <c r="D67" s="328"/>
      <c r="E67" s="364">
        <f>G66</f>
        <v>5162.22</v>
      </c>
      <c r="F67" s="365"/>
      <c r="G67" s="257">
        <f>E67*(C67/100)</f>
        <v>3571.740018</v>
      </c>
      <c r="I67" s="36"/>
      <c r="J67" s="36"/>
      <c r="K67" s="36"/>
    </row>
    <row r="68" spans="1:11" ht="15" customHeight="1" thickBot="1" x14ac:dyDescent="0.3">
      <c r="A68" s="6" t="s">
        <v>22</v>
      </c>
      <c r="B68" s="16" t="s">
        <v>23</v>
      </c>
      <c r="C68" s="329">
        <v>1</v>
      </c>
      <c r="D68" s="330"/>
      <c r="E68" s="366">
        <f>G66+G67</f>
        <v>8733.9600179999998</v>
      </c>
      <c r="F68" s="367"/>
      <c r="G68" s="251">
        <f>E68*C68</f>
        <v>8733.9600179999998</v>
      </c>
      <c r="I68" s="36"/>
      <c r="J68" s="36"/>
      <c r="K68" s="36"/>
    </row>
    <row r="69" spans="1:11" ht="13.8" thickBot="1" x14ac:dyDescent="0.3">
      <c r="A69" s="17"/>
      <c r="B69" s="222"/>
      <c r="C69" s="269"/>
      <c r="D69" s="269"/>
      <c r="E69" s="222"/>
      <c r="F69" s="222"/>
      <c r="G69" s="222"/>
      <c r="I69" s="36"/>
      <c r="J69" s="36"/>
      <c r="K69" s="36"/>
    </row>
    <row r="70" spans="1:11" ht="15" customHeight="1" thickBot="1" x14ac:dyDescent="0.3">
      <c r="A70" s="32" t="s">
        <v>219</v>
      </c>
      <c r="B70" s="219" t="s">
        <v>12</v>
      </c>
      <c r="C70" s="333" t="s">
        <v>13</v>
      </c>
      <c r="D70" s="334"/>
      <c r="E70" s="333" t="s">
        <v>14</v>
      </c>
      <c r="F70" s="334"/>
      <c r="G70" s="33" t="s">
        <v>15</v>
      </c>
      <c r="H70" s="36"/>
      <c r="I70" s="36"/>
      <c r="J70" s="36"/>
      <c r="K70" s="36"/>
    </row>
    <row r="71" spans="1:11" ht="14.4" customHeight="1" x14ac:dyDescent="0.25">
      <c r="A71" s="45" t="s">
        <v>218</v>
      </c>
      <c r="B71" s="216" t="s">
        <v>20</v>
      </c>
      <c r="C71" s="331">
        <v>220</v>
      </c>
      <c r="D71" s="332"/>
      <c r="E71" s="377">
        <f>G71/C71</f>
        <v>14.88890909090909</v>
      </c>
      <c r="F71" s="378"/>
      <c r="G71" s="127">
        <f>ORÇAMENTOS!B14</f>
        <v>3275.56</v>
      </c>
      <c r="H71" s="36"/>
      <c r="I71" s="36"/>
      <c r="J71" s="36"/>
      <c r="K71" s="36"/>
    </row>
    <row r="72" spans="1:11" ht="15" customHeight="1" x14ac:dyDescent="0.25">
      <c r="A72" s="34" t="s">
        <v>18</v>
      </c>
      <c r="B72" s="218" t="s">
        <v>52</v>
      </c>
      <c r="C72" s="282">
        <v>10</v>
      </c>
      <c r="D72" s="283"/>
      <c r="E72" s="282" t="s">
        <v>20</v>
      </c>
      <c r="F72" s="283"/>
      <c r="G72" s="13">
        <f>G71*(C72/100)</f>
        <v>327.55600000000004</v>
      </c>
      <c r="H72" s="36"/>
      <c r="I72" s="36"/>
      <c r="J72" s="36"/>
      <c r="K72" s="36"/>
    </row>
    <row r="73" spans="1:11" ht="15" customHeight="1" thickBot="1" x14ac:dyDescent="0.3">
      <c r="A73" s="42" t="s">
        <v>21</v>
      </c>
      <c r="B73" s="265" t="s">
        <v>52</v>
      </c>
      <c r="C73" s="351">
        <v>69.19</v>
      </c>
      <c r="D73" s="352"/>
      <c r="E73" s="364">
        <f>G71+G72</f>
        <v>3603.116</v>
      </c>
      <c r="F73" s="365"/>
      <c r="G73" s="266">
        <f>E73*(C73/100)</f>
        <v>2492.9959604000001</v>
      </c>
      <c r="H73" s="36"/>
      <c r="I73" s="36"/>
      <c r="J73" s="36"/>
      <c r="K73" s="36"/>
    </row>
    <row r="74" spans="1:11" ht="15" customHeight="1" thickBot="1" x14ac:dyDescent="0.3">
      <c r="A74" s="267"/>
      <c r="B74" s="268"/>
      <c r="C74" s="268"/>
      <c r="D74" s="268"/>
      <c r="E74" s="363" t="s">
        <v>248</v>
      </c>
      <c r="F74" s="363"/>
      <c r="G74" s="264">
        <v>0.5</v>
      </c>
      <c r="I74" s="36"/>
      <c r="J74" s="36"/>
      <c r="K74" s="36"/>
    </row>
    <row r="75" spans="1:11" ht="15" customHeight="1" thickBot="1" x14ac:dyDescent="0.3">
      <c r="A75" s="6" t="s">
        <v>22</v>
      </c>
      <c r="B75" s="16" t="s">
        <v>23</v>
      </c>
      <c r="C75" s="329">
        <v>1</v>
      </c>
      <c r="D75" s="330"/>
      <c r="E75" s="366">
        <f>G72+G73+G71</f>
        <v>6096.1119603999996</v>
      </c>
      <c r="F75" s="367"/>
      <c r="G75" s="251">
        <f>E75*G74</f>
        <v>3048.0559801999998</v>
      </c>
      <c r="I75" s="36"/>
      <c r="J75" s="36"/>
      <c r="K75" s="36"/>
    </row>
    <row r="76" spans="1:11" ht="13.8" thickBot="1" x14ac:dyDescent="0.3">
      <c r="A76" s="6"/>
      <c r="B76" s="236"/>
      <c r="C76" s="243"/>
      <c r="D76" s="243"/>
      <c r="E76" s="243"/>
      <c r="F76" s="243"/>
      <c r="G76" s="236"/>
      <c r="I76" s="36"/>
      <c r="J76" s="36"/>
      <c r="K76" s="36"/>
    </row>
    <row r="77" spans="1:11" ht="15" customHeight="1" thickBot="1" x14ac:dyDescent="0.3">
      <c r="A77" s="6" t="s">
        <v>231</v>
      </c>
      <c r="B77" s="217" t="s">
        <v>12</v>
      </c>
      <c r="C77" s="284" t="s">
        <v>13</v>
      </c>
      <c r="D77" s="285"/>
      <c r="E77" s="284" t="s">
        <v>14</v>
      </c>
      <c r="F77" s="285"/>
      <c r="G77" s="8" t="s">
        <v>15</v>
      </c>
      <c r="I77" s="36"/>
      <c r="J77" s="36"/>
      <c r="K77" s="36"/>
    </row>
    <row r="78" spans="1:11" ht="14.4" customHeight="1" x14ac:dyDescent="0.25">
      <c r="A78" s="56" t="s">
        <v>225</v>
      </c>
      <c r="B78" s="218" t="s">
        <v>226</v>
      </c>
      <c r="C78" s="280">
        <v>1</v>
      </c>
      <c r="D78" s="281"/>
      <c r="E78" s="304">
        <f>ORÇAMENTOS!B17</f>
        <v>4.5999999999999996</v>
      </c>
      <c r="F78" s="305"/>
      <c r="G78" s="91" t="s">
        <v>20</v>
      </c>
    </row>
    <row r="79" spans="1:11" ht="14.4" customHeight="1" x14ac:dyDescent="0.25">
      <c r="A79" s="56" t="s">
        <v>227</v>
      </c>
      <c r="B79" s="218" t="s">
        <v>228</v>
      </c>
      <c r="C79" s="280">
        <v>26</v>
      </c>
      <c r="D79" s="281"/>
      <c r="E79" s="379" t="s">
        <v>20</v>
      </c>
      <c r="F79" s="380"/>
      <c r="G79" s="91" t="s">
        <v>20</v>
      </c>
    </row>
    <row r="80" spans="1:11" ht="14.4" customHeight="1" x14ac:dyDescent="0.25">
      <c r="A80" s="56" t="s">
        <v>232</v>
      </c>
      <c r="B80" s="218" t="s">
        <v>229</v>
      </c>
      <c r="C80" s="280">
        <f>2*C21*$C$79</f>
        <v>1248</v>
      </c>
      <c r="D80" s="281"/>
      <c r="E80" s="381">
        <f>IFERROR((($C$79*2*$E$78)-(G18*0.06*$C$79/26))/($C$79*2),"-")</f>
        <v>2.9488000000000003</v>
      </c>
      <c r="F80" s="382"/>
      <c r="G80" s="247">
        <f t="shared" ref="G80:G88" si="1">IFERROR(C80*E80,"-")</f>
        <v>3680.1024000000002</v>
      </c>
      <c r="H80" s="245"/>
    </row>
    <row r="81" spans="1:10" ht="14.4" customHeight="1" x14ac:dyDescent="0.25">
      <c r="A81" s="56" t="s">
        <v>233</v>
      </c>
      <c r="B81" s="110" t="s">
        <v>229</v>
      </c>
      <c r="C81" s="280">
        <f>2*C27*$C$79</f>
        <v>104</v>
      </c>
      <c r="D81" s="281"/>
      <c r="E81" s="381">
        <f>IFERROR((($C$79*2*$E$78)-(G24*0.06*C79/26))/($C$79*2),"-")</f>
        <v>2.9488000000000003</v>
      </c>
      <c r="F81" s="382"/>
      <c r="G81" s="247">
        <f t="shared" si="1"/>
        <v>306.67520000000002</v>
      </c>
    </row>
    <row r="82" spans="1:10" ht="14.4" customHeight="1" x14ac:dyDescent="0.25">
      <c r="A82" s="56" t="s">
        <v>234</v>
      </c>
      <c r="B82" s="218" t="s">
        <v>229</v>
      </c>
      <c r="C82" s="280">
        <f>2*C33*$C$79</f>
        <v>416</v>
      </c>
      <c r="D82" s="281"/>
      <c r="E82" s="381">
        <f>IFERROR((($C$79*2*$E$78)-(G30*0.06*C79/26))/($C$79*2),"-")</f>
        <v>2.9171846153846155</v>
      </c>
      <c r="F82" s="382"/>
      <c r="G82" s="247">
        <f t="shared" si="1"/>
        <v>1213.5488</v>
      </c>
    </row>
    <row r="83" spans="1:10" ht="14.4" customHeight="1" x14ac:dyDescent="0.25">
      <c r="A83" s="56" t="s">
        <v>235</v>
      </c>
      <c r="B83" s="110" t="s">
        <v>229</v>
      </c>
      <c r="C83" s="280">
        <f>2*C39*$C$79</f>
        <v>1248</v>
      </c>
      <c r="D83" s="281"/>
      <c r="E83" s="381">
        <f>IFERROR((($C$79*2*$E$78)-(G36*0.06*C79/26))/($C$79*2),"-")</f>
        <v>2.9171846153846155</v>
      </c>
      <c r="F83" s="382"/>
      <c r="G83" s="247">
        <f t="shared" si="1"/>
        <v>3640.6464000000001</v>
      </c>
    </row>
    <row r="84" spans="1:10" ht="14.4" customHeight="1" x14ac:dyDescent="0.25">
      <c r="A84" s="56" t="s">
        <v>236</v>
      </c>
      <c r="B84" s="218" t="s">
        <v>229</v>
      </c>
      <c r="C84" s="280">
        <f>2*C45*$C$79</f>
        <v>52</v>
      </c>
      <c r="D84" s="281"/>
      <c r="E84" s="381">
        <f>IFERROR((($C$79*2*$E$78)-(G42*0.06*C79/26))/($C$79*2),"-")</f>
        <v>2.7636653846153845</v>
      </c>
      <c r="F84" s="382"/>
      <c r="G84" s="247">
        <f t="shared" si="1"/>
        <v>143.7106</v>
      </c>
    </row>
    <row r="85" spans="1:10" ht="14.4" customHeight="1" x14ac:dyDescent="0.25">
      <c r="A85" s="56" t="s">
        <v>237</v>
      </c>
      <c r="B85" s="110" t="s">
        <v>229</v>
      </c>
      <c r="C85" s="280">
        <f>2*C51*$C$79</f>
        <v>52</v>
      </c>
      <c r="D85" s="281"/>
      <c r="E85" s="381">
        <f>IFERROR((($C$79*2*$E$78)-(G48*0.06*$C$79/26))/($C$79*2),"-")</f>
        <v>1.651126923076923</v>
      </c>
      <c r="F85" s="382"/>
      <c r="G85" s="247">
        <f t="shared" si="1"/>
        <v>85.858599999999996</v>
      </c>
    </row>
    <row r="86" spans="1:10" ht="14.4" customHeight="1" x14ac:dyDescent="0.25">
      <c r="A86" s="56" t="s">
        <v>238</v>
      </c>
      <c r="B86" s="218" t="s">
        <v>229</v>
      </c>
      <c r="C86" s="280">
        <f>2*C57*$C$79</f>
        <v>52</v>
      </c>
      <c r="D86" s="281"/>
      <c r="E86" s="381">
        <f>IFERROR((($C$79*2*$E$78)-(G54*0.06*$C$79/26))/($C$79*2),"-")</f>
        <v>2.9488000000000003</v>
      </c>
      <c r="F86" s="382"/>
      <c r="G86" s="247">
        <f t="shared" si="1"/>
        <v>153.33760000000001</v>
      </c>
    </row>
    <row r="87" spans="1:10" ht="14.4" customHeight="1" x14ac:dyDescent="0.25">
      <c r="A87" s="56" t="s">
        <v>230</v>
      </c>
      <c r="B87" s="110" t="s">
        <v>229</v>
      </c>
      <c r="C87" s="280">
        <f>2*C63*$C$79</f>
        <v>52</v>
      </c>
      <c r="D87" s="281"/>
      <c r="E87" s="381">
        <f>IFERROR((($C$79*2*$E$78)-(G60*0.06*C79/26))/($C$79*2),"-")</f>
        <v>2.5773076923076919</v>
      </c>
      <c r="F87" s="382"/>
      <c r="G87" s="247">
        <f t="shared" si="1"/>
        <v>134.01999999999998</v>
      </c>
    </row>
    <row r="88" spans="1:10" ht="15" customHeight="1" thickBot="1" x14ac:dyDescent="0.3">
      <c r="A88" s="248" t="s">
        <v>239</v>
      </c>
      <c r="B88" s="249" t="s">
        <v>229</v>
      </c>
      <c r="C88" s="327">
        <f>2*C75*$C$79</f>
        <v>52</v>
      </c>
      <c r="D88" s="328"/>
      <c r="E88" s="383">
        <f>IFERROR((($C$79*2*$E$78)-(G71*0.06*C79/26))/($C$79*2),"-")</f>
        <v>0.82050769230769305</v>
      </c>
      <c r="F88" s="384"/>
      <c r="G88" s="250">
        <f t="shared" si="1"/>
        <v>42.666400000000039</v>
      </c>
    </row>
    <row r="89" spans="1:10" ht="15" customHeight="1" thickBot="1" x14ac:dyDescent="0.3">
      <c r="A89" s="368" t="s">
        <v>240</v>
      </c>
      <c r="B89" s="369"/>
      <c r="C89" s="369"/>
      <c r="D89" s="369"/>
      <c r="E89" s="369"/>
      <c r="F89" s="372"/>
      <c r="G89" s="251">
        <f>SUM(G80:G88)</f>
        <v>9400.5660000000007</v>
      </c>
    </row>
    <row r="90" spans="1:10" ht="13.8" thickBot="1" x14ac:dyDescent="0.3">
      <c r="A90" s="241"/>
      <c r="B90" s="241"/>
      <c r="C90" s="241"/>
      <c r="D90" s="242"/>
      <c r="E90" s="385"/>
      <c r="F90" s="385"/>
      <c r="G90" s="242"/>
    </row>
    <row r="91" spans="1:10" ht="13.8" thickBot="1" x14ac:dyDescent="0.3">
      <c r="A91" s="6" t="s">
        <v>241</v>
      </c>
      <c r="B91" s="217" t="s">
        <v>12</v>
      </c>
      <c r="C91" s="284" t="s">
        <v>13</v>
      </c>
      <c r="D91" s="285"/>
      <c r="E91" s="217" t="s">
        <v>242</v>
      </c>
      <c r="F91" s="217" t="s">
        <v>243</v>
      </c>
      <c r="G91" s="8" t="s">
        <v>15</v>
      </c>
      <c r="J91" s="245"/>
    </row>
    <row r="92" spans="1:10" x14ac:dyDescent="0.25">
      <c r="A92" s="56" t="s">
        <v>232</v>
      </c>
      <c r="B92" s="218" t="s">
        <v>229</v>
      </c>
      <c r="C92" s="280">
        <f>C21*$C$79</f>
        <v>624</v>
      </c>
      <c r="D92" s="281"/>
      <c r="E92" s="254">
        <f>ORÇAMENTOS!B18</f>
        <v>22</v>
      </c>
      <c r="F92" s="246">
        <f>IFERROR((($C$79*1*E92)-(G18*0.19*$C$79/26))/($C$79*1),"-")</f>
        <v>11.542399999999999</v>
      </c>
      <c r="G92" s="247">
        <f>IFERROR(C92*F92,"-")</f>
        <v>7202.4575999999997</v>
      </c>
      <c r="J92" s="245"/>
    </row>
    <row r="93" spans="1:10" x14ac:dyDescent="0.25">
      <c r="A93" s="56" t="s">
        <v>233</v>
      </c>
      <c r="B93" s="110" t="s">
        <v>229</v>
      </c>
      <c r="C93" s="280">
        <f>C27*$C$79</f>
        <v>52</v>
      </c>
      <c r="D93" s="281"/>
      <c r="E93" s="254">
        <f>ORÇAMENTOS!B19</f>
        <v>22</v>
      </c>
      <c r="F93" s="246">
        <f>IFERROR((($C$79*1*E93)-(G24*0.19*$C$79/26))/($C$79*1),"-")</f>
        <v>11.542399999999999</v>
      </c>
      <c r="G93" s="247">
        <f t="shared" ref="G93:G99" si="2">IFERROR(C93*F93,"-")</f>
        <v>600.20479999999998</v>
      </c>
    </row>
    <row r="94" spans="1:10" x14ac:dyDescent="0.25">
      <c r="A94" s="56" t="s">
        <v>234</v>
      </c>
      <c r="B94" s="218" t="s">
        <v>229</v>
      </c>
      <c r="C94" s="280">
        <f>C33*$C$79</f>
        <v>208</v>
      </c>
      <c r="D94" s="281"/>
      <c r="E94" s="254">
        <f>ORÇAMENTOS!B20</f>
        <v>22</v>
      </c>
      <c r="F94" s="246">
        <f>IFERROR((($C$79*1*E94)-(G30*0.19*$C$79/26))/($C$79*1),"-")</f>
        <v>11.34216923076923</v>
      </c>
      <c r="G94" s="247">
        <f t="shared" si="2"/>
        <v>2359.1711999999998</v>
      </c>
    </row>
    <row r="95" spans="1:10" x14ac:dyDescent="0.25">
      <c r="A95" s="56" t="s">
        <v>235</v>
      </c>
      <c r="B95" s="110" t="s">
        <v>229</v>
      </c>
      <c r="C95" s="280">
        <f>C39*$C$79</f>
        <v>624</v>
      </c>
      <c r="D95" s="281"/>
      <c r="E95" s="254">
        <f>ORÇAMENTOS!B21</f>
        <v>22</v>
      </c>
      <c r="F95" s="246">
        <f>IFERROR((($C$79*1*E95)-(G36*0.19*$C$79/26))/($C$79*1),"-")</f>
        <v>11.34216923076923</v>
      </c>
      <c r="G95" s="247">
        <f t="shared" si="2"/>
        <v>7077.5135999999993</v>
      </c>
    </row>
    <row r="96" spans="1:10" x14ac:dyDescent="0.25">
      <c r="A96" s="56" t="s">
        <v>236</v>
      </c>
      <c r="B96" s="218" t="s">
        <v>229</v>
      </c>
      <c r="C96" s="280">
        <f>C45*$C$79</f>
        <v>26</v>
      </c>
      <c r="D96" s="281"/>
      <c r="E96" s="254">
        <f>ORÇAMENTOS!B22</f>
        <v>22</v>
      </c>
      <c r="F96" s="246">
        <f>IFERROR((($C$79*1*E96)-(G42*0.19*$C$79/26))/($C$79*1),"-")</f>
        <v>10.369880769230768</v>
      </c>
      <c r="G96" s="247">
        <f t="shared" si="2"/>
        <v>269.61689999999999</v>
      </c>
    </row>
    <row r="97" spans="1:11" x14ac:dyDescent="0.25">
      <c r="A97" s="56" t="s">
        <v>237</v>
      </c>
      <c r="B97" s="110" t="s">
        <v>229</v>
      </c>
      <c r="C97" s="280">
        <f>C51*$C$79</f>
        <v>26</v>
      </c>
      <c r="D97" s="281"/>
      <c r="E97" s="254">
        <f>ORÇAMENTOS!B23</f>
        <v>22</v>
      </c>
      <c r="F97" s="246">
        <f>IFERROR((($C$79*1*E97)-(G48*0.19*$C$79/26))/($C$79*1),"-")</f>
        <v>3.3238038461538464</v>
      </c>
      <c r="G97" s="247">
        <f t="shared" si="2"/>
        <v>86.418900000000008</v>
      </c>
    </row>
    <row r="98" spans="1:11" x14ac:dyDescent="0.25">
      <c r="A98" s="56" t="s">
        <v>238</v>
      </c>
      <c r="B98" s="218" t="s">
        <v>229</v>
      </c>
      <c r="C98" s="280">
        <f>C57*$C$79</f>
        <v>26</v>
      </c>
      <c r="D98" s="281"/>
      <c r="E98" s="254">
        <f>ORÇAMENTOS!B24</f>
        <v>22</v>
      </c>
      <c r="F98" s="246">
        <f>IFERROR((($C$79*1*E98)-(G54*0.19*$C$79/26))/($C$79*1),"-")</f>
        <v>11.542399999999999</v>
      </c>
      <c r="G98" s="247">
        <f t="shared" si="2"/>
        <v>300.10239999999999</v>
      </c>
    </row>
    <row r="99" spans="1:11" ht="13.8" thickBot="1" x14ac:dyDescent="0.3">
      <c r="A99" s="56" t="s">
        <v>230</v>
      </c>
      <c r="B99" s="110" t="s">
        <v>229</v>
      </c>
      <c r="C99" s="280">
        <f>C63*$C$79</f>
        <v>26</v>
      </c>
      <c r="D99" s="281"/>
      <c r="E99" s="254">
        <f>ORÇAMENTOS!B25</f>
        <v>21.1</v>
      </c>
      <c r="F99" s="246">
        <f>IFERROR((($C$79*1*E99)-(G60*0.19*$C$79/26))/($C$79*1),"-")</f>
        <v>8.2896153846153862</v>
      </c>
      <c r="G99" s="247">
        <f t="shared" si="2"/>
        <v>215.53000000000003</v>
      </c>
    </row>
    <row r="100" spans="1:11" ht="13.8" thickBot="1" x14ac:dyDescent="0.3">
      <c r="A100" s="368" t="s">
        <v>244</v>
      </c>
      <c r="B100" s="369"/>
      <c r="C100" s="369"/>
      <c r="D100" s="369"/>
      <c r="E100" s="369"/>
      <c r="F100" s="372"/>
      <c r="G100" s="251">
        <f>SUM(G92:G99)</f>
        <v>18111.015399999997</v>
      </c>
    </row>
    <row r="101" spans="1:11" ht="13.8" thickBot="1" x14ac:dyDescent="0.3">
      <c r="B101" s="231"/>
      <c r="C101" s="240"/>
      <c r="D101" s="240"/>
      <c r="E101" s="240"/>
      <c r="F101" s="231"/>
      <c r="G101" s="231"/>
    </row>
    <row r="102" spans="1:11" ht="15" customHeight="1" thickBot="1" x14ac:dyDescent="0.3">
      <c r="A102" s="6" t="s">
        <v>245</v>
      </c>
      <c r="B102" s="217" t="s">
        <v>12</v>
      </c>
      <c r="C102" s="284" t="s">
        <v>13</v>
      </c>
      <c r="D102" s="285"/>
      <c r="E102" s="284" t="s">
        <v>14</v>
      </c>
      <c r="F102" s="285"/>
      <c r="G102" s="8" t="s">
        <v>15</v>
      </c>
    </row>
    <row r="103" spans="1:11" x14ac:dyDescent="0.25">
      <c r="A103" s="56" t="s">
        <v>232</v>
      </c>
      <c r="B103" s="110" t="s">
        <v>19</v>
      </c>
      <c r="C103" s="410">
        <f>C21</f>
        <v>24</v>
      </c>
      <c r="D103" s="410"/>
      <c r="E103" s="413">
        <f>ORÇAMENTOS!B28</f>
        <v>18.5</v>
      </c>
      <c r="F103" s="414"/>
      <c r="G103" s="260">
        <f>C103*E103</f>
        <v>444</v>
      </c>
    </row>
    <row r="104" spans="1:11" x14ac:dyDescent="0.25">
      <c r="A104" s="56" t="s">
        <v>233</v>
      </c>
      <c r="B104" s="110" t="s">
        <v>19</v>
      </c>
      <c r="C104" s="371">
        <f>C27</f>
        <v>2</v>
      </c>
      <c r="D104" s="371"/>
      <c r="E104" s="415">
        <f>ORÇAMENTOS!B28</f>
        <v>18.5</v>
      </c>
      <c r="F104" s="416"/>
      <c r="G104" s="247">
        <f t="shared" ref="G104:G107" si="3">C104*E104</f>
        <v>37</v>
      </c>
    </row>
    <row r="105" spans="1:11" x14ac:dyDescent="0.25">
      <c r="A105" s="56" t="s">
        <v>234</v>
      </c>
      <c r="B105" s="110" t="s">
        <v>19</v>
      </c>
      <c r="C105" s="371">
        <f>C33</f>
        <v>8</v>
      </c>
      <c r="D105" s="371"/>
      <c r="E105" s="415">
        <f>ORÇAMENTOS!B28</f>
        <v>18.5</v>
      </c>
      <c r="F105" s="416"/>
      <c r="G105" s="247">
        <f t="shared" si="3"/>
        <v>148</v>
      </c>
    </row>
    <row r="106" spans="1:11" x14ac:dyDescent="0.25">
      <c r="A106" s="56" t="s">
        <v>235</v>
      </c>
      <c r="B106" s="110" t="s">
        <v>19</v>
      </c>
      <c r="C106" s="371">
        <f>C39</f>
        <v>24</v>
      </c>
      <c r="D106" s="371"/>
      <c r="E106" s="415">
        <f>ORÇAMENTOS!B28</f>
        <v>18.5</v>
      </c>
      <c r="F106" s="416"/>
      <c r="G106" s="247">
        <f t="shared" si="3"/>
        <v>444</v>
      </c>
    </row>
    <row r="107" spans="1:11" ht="13.8" thickBot="1" x14ac:dyDescent="0.3">
      <c r="A107" s="56" t="s">
        <v>238</v>
      </c>
      <c r="B107" s="110" t="s">
        <v>19</v>
      </c>
      <c r="C107" s="411">
        <f>C57</f>
        <v>1</v>
      </c>
      <c r="D107" s="412"/>
      <c r="E107" s="415">
        <f>ORÇAMENTOS!B28</f>
        <v>18.5</v>
      </c>
      <c r="F107" s="416"/>
      <c r="G107" s="247">
        <f t="shared" si="3"/>
        <v>18.5</v>
      </c>
    </row>
    <row r="108" spans="1:11" ht="13.8" thickBot="1" x14ac:dyDescent="0.3">
      <c r="A108" s="368" t="s">
        <v>246</v>
      </c>
      <c r="B108" s="369"/>
      <c r="C108" s="369"/>
      <c r="D108" s="369"/>
      <c r="E108" s="369"/>
      <c r="F108" s="372"/>
      <c r="G108" s="251">
        <f>SUM(G103:G107)</f>
        <v>1091.5</v>
      </c>
    </row>
    <row r="109" spans="1:11" ht="13.8" thickBot="1" x14ac:dyDescent="0.3">
      <c r="B109" s="231"/>
      <c r="C109" s="240"/>
      <c r="D109" s="240"/>
      <c r="E109" s="240"/>
      <c r="F109" s="231"/>
      <c r="G109" s="231"/>
    </row>
    <row r="110" spans="1:11" ht="13.8" thickBot="1" x14ac:dyDescent="0.3">
      <c r="A110" s="229" t="s">
        <v>24</v>
      </c>
      <c r="B110" s="230"/>
      <c r="C110" s="230"/>
      <c r="D110" s="230"/>
      <c r="E110" s="235"/>
      <c r="F110" s="230"/>
      <c r="G110" s="18">
        <f>G21+G33+G39+G45+G63+G51+G68+G27+G57+G75+G89+G100+G108</f>
        <v>242593.52242730002</v>
      </c>
      <c r="I110" s="259"/>
      <c r="J110" s="162"/>
      <c r="K110" s="259"/>
    </row>
    <row r="111" spans="1:11" x14ac:dyDescent="0.25">
      <c r="B111" s="231"/>
      <c r="C111" s="240"/>
      <c r="D111" s="240"/>
      <c r="E111" s="240"/>
      <c r="F111" s="231"/>
      <c r="G111" s="231"/>
      <c r="I111" s="259"/>
      <c r="J111" s="259"/>
      <c r="K111" s="259"/>
    </row>
    <row r="112" spans="1:11" x14ac:dyDescent="0.25">
      <c r="A112" s="5"/>
      <c r="B112" s="223"/>
      <c r="C112" s="337"/>
      <c r="D112" s="337"/>
      <c r="E112" s="231"/>
      <c r="F112" s="223"/>
      <c r="G112" s="223"/>
    </row>
    <row r="113" spans="1:7" x14ac:dyDescent="0.25">
      <c r="A113" s="338" t="s">
        <v>25</v>
      </c>
      <c r="B113" s="338"/>
      <c r="C113" s="338"/>
      <c r="D113" s="338"/>
      <c r="E113" s="338"/>
      <c r="F113" s="338"/>
      <c r="G113" s="338"/>
    </row>
    <row r="114" spans="1:7" ht="13.8" thickBot="1" x14ac:dyDescent="0.3">
      <c r="A114" s="19"/>
      <c r="B114" s="19"/>
      <c r="C114" s="356"/>
      <c r="D114" s="356"/>
      <c r="E114" s="234"/>
      <c r="F114" s="19"/>
      <c r="G114" s="222"/>
    </row>
    <row r="115" spans="1:7" ht="15" customHeight="1" thickBot="1" x14ac:dyDescent="0.3">
      <c r="A115" s="64" t="s">
        <v>213</v>
      </c>
      <c r="B115" s="219" t="s">
        <v>12</v>
      </c>
      <c r="C115" s="219" t="s">
        <v>108</v>
      </c>
      <c r="D115" s="219" t="s">
        <v>109</v>
      </c>
      <c r="E115" s="284" t="s">
        <v>14</v>
      </c>
      <c r="F115" s="285"/>
      <c r="G115" s="33" t="s">
        <v>15</v>
      </c>
    </row>
    <row r="116" spans="1:7" ht="14.4" customHeight="1" x14ac:dyDescent="0.25">
      <c r="A116" s="45" t="s">
        <v>107</v>
      </c>
      <c r="B116" s="216" t="s">
        <v>19</v>
      </c>
      <c r="C116" s="173">
        <f>C39</f>
        <v>24</v>
      </c>
      <c r="D116" s="134">
        <v>3</v>
      </c>
      <c r="E116" s="304">
        <f>'[1]Orçamentos ESSE'!F8</f>
        <v>13.153333333333334</v>
      </c>
      <c r="F116" s="305"/>
      <c r="G116" s="131">
        <f t="shared" ref="G116:G128" si="4">C116*E116*D116</f>
        <v>947.04</v>
      </c>
    </row>
    <row r="117" spans="1:7" ht="14.4" customHeight="1" x14ac:dyDescent="0.25">
      <c r="A117" s="140" t="s">
        <v>26</v>
      </c>
      <c r="B117" s="74" t="s">
        <v>19</v>
      </c>
      <c r="C117" s="218">
        <f>C21+C33+C39+C45+C51+C63+C68+C57</f>
        <v>61</v>
      </c>
      <c r="D117" s="135">
        <v>4</v>
      </c>
      <c r="E117" s="274">
        <f>'[1]Orçamentos ESSE'!F8</f>
        <v>13.153333333333334</v>
      </c>
      <c r="F117" s="275"/>
      <c r="G117" s="132">
        <f t="shared" si="4"/>
        <v>3209.4133333333334</v>
      </c>
    </row>
    <row r="118" spans="1:7" ht="14.4" customHeight="1" x14ac:dyDescent="0.25">
      <c r="A118" s="141" t="s">
        <v>27</v>
      </c>
      <c r="B118" s="74" t="s">
        <v>19</v>
      </c>
      <c r="C118" s="218">
        <v>64</v>
      </c>
      <c r="D118" s="135">
        <v>3</v>
      </c>
      <c r="E118" s="274">
        <f>'[1]Orçamentos ESSE'!F10</f>
        <v>79.33</v>
      </c>
      <c r="F118" s="275"/>
      <c r="G118" s="132">
        <f t="shared" si="4"/>
        <v>15231.36</v>
      </c>
    </row>
    <row r="119" spans="1:7" ht="14.4" customHeight="1" x14ac:dyDescent="0.25">
      <c r="A119" s="141" t="s">
        <v>55</v>
      </c>
      <c r="B119" s="74" t="s">
        <v>19</v>
      </c>
      <c r="C119" s="218">
        <v>64</v>
      </c>
      <c r="D119" s="135">
        <v>3</v>
      </c>
      <c r="E119" s="274">
        <f>'[1]Orçamentos ESSE'!F9</f>
        <v>46.036666666666669</v>
      </c>
      <c r="F119" s="275"/>
      <c r="G119" s="132">
        <f t="shared" si="4"/>
        <v>8839.0400000000009</v>
      </c>
    </row>
    <row r="120" spans="1:7" ht="14.4" customHeight="1" x14ac:dyDescent="0.25">
      <c r="A120" s="141" t="s">
        <v>28</v>
      </c>
      <c r="B120" s="74" t="s">
        <v>19</v>
      </c>
      <c r="C120" s="218">
        <v>64</v>
      </c>
      <c r="D120" s="135">
        <v>4</v>
      </c>
      <c r="E120" s="274">
        <f>'[1]Orçamentos ESSE'!F11</f>
        <v>14.973333333333334</v>
      </c>
      <c r="F120" s="275"/>
      <c r="G120" s="132">
        <f t="shared" si="4"/>
        <v>3833.1733333333336</v>
      </c>
    </row>
    <row r="121" spans="1:7" ht="14.4" customHeight="1" x14ac:dyDescent="0.25">
      <c r="A121" s="52" t="s">
        <v>29</v>
      </c>
      <c r="B121" s="74" t="s">
        <v>19</v>
      </c>
      <c r="C121" s="218">
        <f>C21+C33+C39+C45+C68+C57</f>
        <v>59</v>
      </c>
      <c r="D121" s="135">
        <v>2</v>
      </c>
      <c r="E121" s="274">
        <f>'[1]Orçamentos ESSE'!F12</f>
        <v>19.263333333333332</v>
      </c>
      <c r="F121" s="275"/>
      <c r="G121" s="132">
        <f t="shared" si="4"/>
        <v>2273.0733333333333</v>
      </c>
    </row>
    <row r="122" spans="1:7" ht="14.4" customHeight="1" x14ac:dyDescent="0.25">
      <c r="A122" s="52" t="s">
        <v>30</v>
      </c>
      <c r="B122" s="74" t="s">
        <v>19</v>
      </c>
      <c r="C122" s="218">
        <f>C21+C33+C39+C45+C68+C57</f>
        <v>59</v>
      </c>
      <c r="D122" s="135">
        <v>2</v>
      </c>
      <c r="E122" s="274">
        <f>'[1]Orçamentos ESSE'!F13</f>
        <v>25.389999999999997</v>
      </c>
      <c r="F122" s="275"/>
      <c r="G122" s="132">
        <f t="shared" si="4"/>
        <v>2996.0199999999995</v>
      </c>
    </row>
    <row r="123" spans="1:7" ht="14.4" customHeight="1" x14ac:dyDescent="0.25">
      <c r="A123" s="52" t="s">
        <v>31</v>
      </c>
      <c r="B123" s="74" t="s">
        <v>19</v>
      </c>
      <c r="C123" s="74">
        <v>64</v>
      </c>
      <c r="D123" s="135">
        <v>1</v>
      </c>
      <c r="E123" s="274">
        <f>'[1]Orçamentos ESSE'!F14</f>
        <v>202.98333333333335</v>
      </c>
      <c r="F123" s="275"/>
      <c r="G123" s="132">
        <f t="shared" si="4"/>
        <v>12990.933333333334</v>
      </c>
    </row>
    <row r="124" spans="1:7" ht="14.4" customHeight="1" x14ac:dyDescent="0.25">
      <c r="A124" s="68" t="s">
        <v>56</v>
      </c>
      <c r="B124" s="74" t="s">
        <v>19</v>
      </c>
      <c r="C124" s="74">
        <v>64</v>
      </c>
      <c r="D124" s="135">
        <v>4</v>
      </c>
      <c r="E124" s="274">
        <f>'[1]Orçamentos ESSE'!F18</f>
        <v>9.7799999999999994</v>
      </c>
      <c r="F124" s="275"/>
      <c r="G124" s="132">
        <f t="shared" si="4"/>
        <v>2503.6799999999998</v>
      </c>
    </row>
    <row r="125" spans="1:7" ht="14.4" customHeight="1" x14ac:dyDescent="0.25">
      <c r="A125" s="52" t="s">
        <v>57</v>
      </c>
      <c r="B125" s="74" t="s">
        <v>19</v>
      </c>
      <c r="C125" s="74">
        <v>64</v>
      </c>
      <c r="D125" s="135">
        <v>6</v>
      </c>
      <c r="E125" s="274">
        <f>'[1]Orçamentos ESSE'!F15</f>
        <v>10.396666666666667</v>
      </c>
      <c r="F125" s="275"/>
      <c r="G125" s="132">
        <f t="shared" si="4"/>
        <v>3992.3199999999997</v>
      </c>
    </row>
    <row r="126" spans="1:7" ht="14.4" customHeight="1" x14ac:dyDescent="0.25">
      <c r="A126" s="52" t="s">
        <v>32</v>
      </c>
      <c r="B126" s="74" t="s">
        <v>19</v>
      </c>
      <c r="C126" s="74">
        <f>C21+C33+C39+C45+C51+C63+C68+C57</f>
        <v>61</v>
      </c>
      <c r="D126" s="135">
        <v>12</v>
      </c>
      <c r="E126" s="274">
        <f>'[1]Orçamentos ESSE'!F22</f>
        <v>28.889999999999997</v>
      </c>
      <c r="F126" s="275"/>
      <c r="G126" s="132">
        <f t="shared" si="4"/>
        <v>21147.479999999996</v>
      </c>
    </row>
    <row r="127" spans="1:7" ht="14.4" customHeight="1" x14ac:dyDescent="0.25">
      <c r="A127" s="52" t="s">
        <v>106</v>
      </c>
      <c r="B127" s="74" t="s">
        <v>19</v>
      </c>
      <c r="C127" s="74">
        <f>C21+C33+C39+C45+C51+C63+C68+C57</f>
        <v>61</v>
      </c>
      <c r="D127" s="135">
        <v>2</v>
      </c>
      <c r="E127" s="274">
        <v>14.6</v>
      </c>
      <c r="F127" s="275"/>
      <c r="G127" s="132">
        <f t="shared" si="4"/>
        <v>1781.2</v>
      </c>
    </row>
    <row r="128" spans="1:7" ht="15" customHeight="1" thickBot="1" x14ac:dyDescent="0.3">
      <c r="A128" s="142" t="s">
        <v>58</v>
      </c>
      <c r="B128" s="75" t="s">
        <v>19</v>
      </c>
      <c r="C128" s="75">
        <f>C21+C33+C39+C45+C51+C63+C68+C57</f>
        <v>61</v>
      </c>
      <c r="D128" s="136">
        <v>2</v>
      </c>
      <c r="E128" s="386">
        <v>5.32</v>
      </c>
      <c r="F128" s="387"/>
      <c r="G128" s="133">
        <f t="shared" si="4"/>
        <v>649.04000000000008</v>
      </c>
    </row>
    <row r="129" spans="1:7" ht="13.95" customHeight="1" thickBot="1" x14ac:dyDescent="0.3">
      <c r="A129" s="149" t="s">
        <v>33</v>
      </c>
      <c r="B129" s="150"/>
      <c r="C129" s="150"/>
      <c r="D129" s="150"/>
      <c r="E129" s="150"/>
      <c r="F129" s="150"/>
      <c r="G129" s="151">
        <f>SUM(G116:G128)</f>
        <v>80393.773333333316</v>
      </c>
    </row>
    <row r="130" spans="1:7" ht="13.8" thickBot="1" x14ac:dyDescent="0.3">
      <c r="A130" s="19"/>
      <c r="B130" s="19"/>
      <c r="C130" s="322"/>
      <c r="D130" s="322"/>
      <c r="E130" s="234"/>
      <c r="F130" s="19"/>
      <c r="G130" s="21"/>
    </row>
    <row r="131" spans="1:7" ht="15" customHeight="1" thickBot="1" x14ac:dyDescent="0.3">
      <c r="A131" s="22" t="s">
        <v>214</v>
      </c>
      <c r="B131" s="217" t="s">
        <v>12</v>
      </c>
      <c r="C131" s="217" t="s">
        <v>108</v>
      </c>
      <c r="D131" s="217" t="s">
        <v>109</v>
      </c>
      <c r="E131" s="284" t="s">
        <v>14</v>
      </c>
      <c r="F131" s="285"/>
      <c r="G131" s="8" t="s">
        <v>15</v>
      </c>
    </row>
    <row r="132" spans="1:7" ht="14.4" customHeight="1" x14ac:dyDescent="0.25">
      <c r="A132" s="143" t="s">
        <v>110</v>
      </c>
      <c r="B132" s="216" t="s">
        <v>19</v>
      </c>
      <c r="C132" s="70">
        <f>C116</f>
        <v>24</v>
      </c>
      <c r="D132" s="216">
        <f>52/2</f>
        <v>26</v>
      </c>
      <c r="E132" s="304">
        <f>ORÇAMENTOS!F48</f>
        <v>3.9166666666666665</v>
      </c>
      <c r="F132" s="305"/>
      <c r="G132" s="63">
        <f>C132*E132*D132</f>
        <v>2444</v>
      </c>
    </row>
    <row r="133" spans="1:7" ht="14.4" customHeight="1" x14ac:dyDescent="0.25">
      <c r="A133" s="140" t="s">
        <v>34</v>
      </c>
      <c r="B133" s="74" t="s">
        <v>19</v>
      </c>
      <c r="C133" s="71">
        <f t="shared" ref="C133:C141" si="5">C117</f>
        <v>61</v>
      </c>
      <c r="D133" s="27">
        <f>52/2</f>
        <v>26</v>
      </c>
      <c r="E133" s="274">
        <f>ORÇAMENTOS!F49</f>
        <v>1.74</v>
      </c>
      <c r="F133" s="275"/>
      <c r="G133" s="28">
        <f t="shared" ref="G133:G141" si="6">C133*E133*D133</f>
        <v>2759.64</v>
      </c>
    </row>
    <row r="134" spans="1:7" ht="14.4" customHeight="1" x14ac:dyDescent="0.25">
      <c r="A134" s="141" t="s">
        <v>36</v>
      </c>
      <c r="B134" s="74" t="s">
        <v>19</v>
      </c>
      <c r="C134" s="71">
        <f t="shared" si="5"/>
        <v>64</v>
      </c>
      <c r="D134" s="27">
        <v>52</v>
      </c>
      <c r="E134" s="274">
        <f>ORÇAMENTOS!F50</f>
        <v>3.36</v>
      </c>
      <c r="F134" s="275"/>
      <c r="G134" s="28">
        <f t="shared" si="6"/>
        <v>11182.08</v>
      </c>
    </row>
    <row r="135" spans="1:7" ht="14.4" customHeight="1" x14ac:dyDescent="0.25">
      <c r="A135" s="141" t="s">
        <v>35</v>
      </c>
      <c r="B135" s="74" t="s">
        <v>19</v>
      </c>
      <c r="C135" s="71">
        <f t="shared" si="5"/>
        <v>64</v>
      </c>
      <c r="D135" s="27">
        <v>52</v>
      </c>
      <c r="E135" s="274">
        <f>ORÇAMENTOS!F51</f>
        <v>10.306666666666667</v>
      </c>
      <c r="F135" s="275"/>
      <c r="G135" s="28">
        <f t="shared" si="6"/>
        <v>34300.58666666667</v>
      </c>
    </row>
    <row r="136" spans="1:7" ht="14.4" customHeight="1" x14ac:dyDescent="0.25">
      <c r="A136" s="141" t="s">
        <v>37</v>
      </c>
      <c r="B136" s="74" t="s">
        <v>19</v>
      </c>
      <c r="C136" s="71">
        <f t="shared" si="5"/>
        <v>64</v>
      </c>
      <c r="D136" s="27">
        <f>52*3</f>
        <v>156</v>
      </c>
      <c r="E136" s="274">
        <f>ORÇAMENTOS!F52</f>
        <v>2.9133333333333336</v>
      </c>
      <c r="F136" s="275"/>
      <c r="G136" s="28">
        <f t="shared" si="6"/>
        <v>29086.720000000001</v>
      </c>
    </row>
    <row r="137" spans="1:7" ht="14.4" customHeight="1" x14ac:dyDescent="0.25">
      <c r="A137" s="52" t="s">
        <v>38</v>
      </c>
      <c r="B137" s="74" t="s">
        <v>19</v>
      </c>
      <c r="C137" s="71">
        <f t="shared" si="5"/>
        <v>59</v>
      </c>
      <c r="D137" s="27">
        <f>12</f>
        <v>12</v>
      </c>
      <c r="E137" s="274">
        <f>ORÇAMENTOS!F53</f>
        <v>4.003333333333333</v>
      </c>
      <c r="F137" s="275"/>
      <c r="G137" s="28">
        <f t="shared" si="6"/>
        <v>2834.3599999999997</v>
      </c>
    </row>
    <row r="138" spans="1:7" ht="14.4" customHeight="1" x14ac:dyDescent="0.25">
      <c r="A138" s="52" t="s">
        <v>39</v>
      </c>
      <c r="B138" s="74" t="s">
        <v>19</v>
      </c>
      <c r="C138" s="71">
        <f t="shared" si="5"/>
        <v>59</v>
      </c>
      <c r="D138" s="27">
        <v>26</v>
      </c>
      <c r="E138" s="274">
        <f>ORÇAMENTOS!F54</f>
        <v>2.6300000000000003</v>
      </c>
      <c r="F138" s="275"/>
      <c r="G138" s="28">
        <f t="shared" si="6"/>
        <v>4034.4200000000005</v>
      </c>
    </row>
    <row r="139" spans="1:7" ht="14.4" customHeight="1" x14ac:dyDescent="0.25">
      <c r="A139" s="52" t="s">
        <v>40</v>
      </c>
      <c r="B139" s="74" t="s">
        <v>19</v>
      </c>
      <c r="C139" s="71">
        <f t="shared" si="5"/>
        <v>64</v>
      </c>
      <c r="D139" s="27">
        <v>26</v>
      </c>
      <c r="E139" s="274">
        <f>ORÇAMENTOS!F55</f>
        <v>4.03</v>
      </c>
      <c r="F139" s="275"/>
      <c r="G139" s="28">
        <f t="shared" si="6"/>
        <v>6705.92</v>
      </c>
    </row>
    <row r="140" spans="1:7" ht="14.4" customHeight="1" x14ac:dyDescent="0.25">
      <c r="A140" s="11" t="s">
        <v>42</v>
      </c>
      <c r="B140" s="74" t="s">
        <v>19</v>
      </c>
      <c r="C140" s="71">
        <f t="shared" si="5"/>
        <v>64</v>
      </c>
      <c r="D140" s="27">
        <v>26</v>
      </c>
      <c r="E140" s="274">
        <f>ORÇAMENTOS!F56</f>
        <v>0.88666666666666671</v>
      </c>
      <c r="F140" s="275"/>
      <c r="G140" s="28">
        <f t="shared" si="6"/>
        <v>1475.4133333333334</v>
      </c>
    </row>
    <row r="141" spans="1:7" ht="15" customHeight="1" thickBot="1" x14ac:dyDescent="0.3">
      <c r="A141" s="154" t="s">
        <v>41</v>
      </c>
      <c r="B141" s="14" t="s">
        <v>19</v>
      </c>
      <c r="C141" s="155">
        <f t="shared" si="5"/>
        <v>64</v>
      </c>
      <c r="D141" s="228">
        <f>3*52</f>
        <v>156</v>
      </c>
      <c r="E141" s="386">
        <f>ORÇAMENTOS!F57</f>
        <v>1.4833333333333334</v>
      </c>
      <c r="F141" s="387"/>
      <c r="G141" s="138">
        <f t="shared" si="6"/>
        <v>14809.6</v>
      </c>
    </row>
    <row r="142" spans="1:7" ht="13.8" thickBot="1" x14ac:dyDescent="0.3">
      <c r="A142" s="152" t="s">
        <v>33</v>
      </c>
      <c r="B142" s="153"/>
      <c r="C142" s="153"/>
      <c r="D142" s="153"/>
      <c r="E142" s="153"/>
      <c r="F142" s="153"/>
      <c r="G142" s="156">
        <f>SUM(G132:G141)</f>
        <v>109632.74</v>
      </c>
    </row>
    <row r="143" spans="1:7" ht="13.8" thickBot="1" x14ac:dyDescent="0.3">
      <c r="A143" s="144"/>
      <c r="B143" s="227"/>
      <c r="C143" s="294"/>
      <c r="D143" s="294"/>
      <c r="E143" s="233"/>
      <c r="F143" s="23"/>
      <c r="G143" s="24"/>
    </row>
    <row r="144" spans="1:7" ht="13.8" thickBot="1" x14ac:dyDescent="0.3">
      <c r="A144" s="229" t="s">
        <v>43</v>
      </c>
      <c r="B144" s="230"/>
      <c r="C144" s="230"/>
      <c r="D144" s="230"/>
      <c r="E144" s="235"/>
      <c r="F144" s="230"/>
      <c r="G144" s="18">
        <f>(G129+G142)/12</f>
        <v>15835.542777777775</v>
      </c>
    </row>
    <row r="145" spans="1:7" x14ac:dyDescent="0.25">
      <c r="A145" s="144"/>
      <c r="B145" s="227"/>
      <c r="C145" s="297"/>
      <c r="D145" s="297"/>
      <c r="E145" s="233"/>
      <c r="F145" s="23"/>
      <c r="G145" s="24"/>
    </row>
    <row r="146" spans="1:7" x14ac:dyDescent="0.25">
      <c r="A146" s="145"/>
      <c r="B146" s="227"/>
      <c r="C146" s="390"/>
      <c r="D146" s="390"/>
      <c r="E146" s="233"/>
      <c r="F146" s="23"/>
      <c r="G146" s="24"/>
    </row>
    <row r="147" spans="1:7" x14ac:dyDescent="0.25">
      <c r="A147" s="17" t="s">
        <v>59</v>
      </c>
      <c r="B147" s="17"/>
      <c r="C147" s="391"/>
      <c r="D147" s="391"/>
      <c r="E147" s="234"/>
      <c r="F147" s="17"/>
      <c r="G147" s="17"/>
    </row>
    <row r="148" spans="1:7" ht="13.8" thickBot="1" x14ac:dyDescent="0.3">
      <c r="A148" s="17"/>
      <c r="B148" s="17"/>
      <c r="C148" s="356"/>
      <c r="D148" s="356"/>
      <c r="E148" s="234"/>
      <c r="F148" s="17"/>
      <c r="G148" s="17"/>
    </row>
    <row r="149" spans="1:7" ht="15" customHeight="1" thickBot="1" x14ac:dyDescent="0.3">
      <c r="A149" s="6" t="s">
        <v>113</v>
      </c>
      <c r="B149" s="217" t="s">
        <v>12</v>
      </c>
      <c r="C149" s="284" t="s">
        <v>13</v>
      </c>
      <c r="D149" s="285"/>
      <c r="E149" s="284" t="s">
        <v>14</v>
      </c>
      <c r="F149" s="285"/>
      <c r="G149" s="8" t="s">
        <v>15</v>
      </c>
    </row>
    <row r="150" spans="1:7" ht="15" customHeight="1" thickBot="1" x14ac:dyDescent="0.3">
      <c r="A150" s="137" t="s">
        <v>148</v>
      </c>
      <c r="B150" s="228" t="s">
        <v>19</v>
      </c>
      <c r="C150" s="329">
        <v>1</v>
      </c>
      <c r="D150" s="330"/>
      <c r="E150" s="388">
        <f>G150*C150</f>
        <v>174966.66666666666</v>
      </c>
      <c r="F150" s="389"/>
      <c r="G150" s="138">
        <f>ORÇAMENTOS!F61</f>
        <v>174966.66666666666</v>
      </c>
    </row>
    <row r="151" spans="1:7" ht="13.8" thickBot="1" x14ac:dyDescent="0.3">
      <c r="A151" s="290" t="s">
        <v>111</v>
      </c>
      <c r="B151" s="291"/>
      <c r="C151" s="291"/>
      <c r="D151" s="291"/>
      <c r="E151" s="291"/>
      <c r="F151" s="291"/>
      <c r="G151" s="158">
        <f>SUM(G150:G150)</f>
        <v>174966.66666666666</v>
      </c>
    </row>
    <row r="152" spans="1:7" ht="13.8" thickBot="1" x14ac:dyDescent="0.3">
      <c r="A152" s="322"/>
      <c r="B152" s="322"/>
      <c r="C152" s="322"/>
      <c r="D152" s="322"/>
      <c r="E152" s="322"/>
      <c r="F152" s="322"/>
      <c r="G152" s="322"/>
    </row>
    <row r="153" spans="1:7" ht="15" customHeight="1" thickBot="1" x14ac:dyDescent="0.3">
      <c r="A153" s="6" t="s">
        <v>114</v>
      </c>
      <c r="B153" s="217" t="s">
        <v>12</v>
      </c>
      <c r="C153" s="284" t="s">
        <v>13</v>
      </c>
      <c r="D153" s="285"/>
      <c r="E153" s="284" t="s">
        <v>14</v>
      </c>
      <c r="F153" s="285"/>
      <c r="G153" s="8" t="s">
        <v>15</v>
      </c>
    </row>
    <row r="154" spans="1:7" ht="15" customHeight="1" thickBot="1" x14ac:dyDescent="0.3">
      <c r="A154" s="137" t="s">
        <v>149</v>
      </c>
      <c r="B154" s="228" t="s">
        <v>52</v>
      </c>
      <c r="C154" s="392">
        <v>65.180000000000007</v>
      </c>
      <c r="D154" s="393"/>
      <c r="E154" s="388">
        <f>G150</f>
        <v>174966.66666666666</v>
      </c>
      <c r="F154" s="389"/>
      <c r="G154" s="139">
        <f>E154*C154/100</f>
        <v>114043.27333333335</v>
      </c>
    </row>
    <row r="155" spans="1:7" ht="13.8" thickBot="1" x14ac:dyDescent="0.3">
      <c r="A155" s="290" t="s">
        <v>112</v>
      </c>
      <c r="B155" s="291"/>
      <c r="C155" s="291"/>
      <c r="D155" s="291"/>
      <c r="E155" s="291"/>
      <c r="F155" s="291"/>
      <c r="G155" s="158">
        <f>(G154/120)</f>
        <v>950.36061111111121</v>
      </c>
    </row>
    <row r="156" spans="1:7" ht="13.8" thickBot="1" x14ac:dyDescent="0.3">
      <c r="A156" s="17"/>
      <c r="B156" s="17"/>
      <c r="C156" s="17"/>
      <c r="D156" s="17"/>
      <c r="E156" s="17"/>
      <c r="F156" s="17"/>
      <c r="G156" s="17"/>
    </row>
    <row r="157" spans="1:7" ht="15" customHeight="1" thickBot="1" x14ac:dyDescent="0.3">
      <c r="A157" s="32" t="s">
        <v>115</v>
      </c>
      <c r="B157" s="219" t="s">
        <v>12</v>
      </c>
      <c r="C157" s="284" t="s">
        <v>13</v>
      </c>
      <c r="D157" s="285"/>
      <c r="E157" s="284" t="s">
        <v>14</v>
      </c>
      <c r="F157" s="285"/>
      <c r="G157" s="33" t="s">
        <v>15</v>
      </c>
    </row>
    <row r="158" spans="1:7" ht="14.4" customHeight="1" x14ac:dyDescent="0.25">
      <c r="A158" s="45" t="s">
        <v>60</v>
      </c>
      <c r="B158" s="216" t="s">
        <v>19</v>
      </c>
      <c r="C158" s="312">
        <f>C150</f>
        <v>1</v>
      </c>
      <c r="D158" s="313"/>
      <c r="E158" s="302">
        <f>ORÇAMENTOS!C65</f>
        <v>270.95</v>
      </c>
      <c r="F158" s="303"/>
      <c r="G158" s="46">
        <f>C158*E158</f>
        <v>270.95</v>
      </c>
    </row>
    <row r="159" spans="1:7" ht="14.4" customHeight="1" x14ac:dyDescent="0.25">
      <c r="A159" s="11" t="s">
        <v>61</v>
      </c>
      <c r="B159" s="74" t="s">
        <v>19</v>
      </c>
      <c r="C159" s="314">
        <f>C150</f>
        <v>1</v>
      </c>
      <c r="D159" s="315"/>
      <c r="E159" s="298">
        <f>ORÇAMENTOS!C66</f>
        <v>5248.9999999999991</v>
      </c>
      <c r="F159" s="299"/>
      <c r="G159" s="13">
        <f>C159*E159</f>
        <v>5248.9999999999991</v>
      </c>
    </row>
    <row r="160" spans="1:7" ht="14.4" customHeight="1" x14ac:dyDescent="0.25">
      <c r="A160" s="11" t="s">
        <v>62</v>
      </c>
      <c r="B160" s="74" t="s">
        <v>19</v>
      </c>
      <c r="C160" s="314">
        <f>C150</f>
        <v>1</v>
      </c>
      <c r="D160" s="315"/>
      <c r="E160" s="298">
        <f>ORÇAMENTOS!C67</f>
        <v>8.08</v>
      </c>
      <c r="F160" s="299"/>
      <c r="G160" s="13">
        <f>C160*E160</f>
        <v>8.08</v>
      </c>
    </row>
    <row r="161" spans="1:7" ht="15" customHeight="1" thickBot="1" x14ac:dyDescent="0.3">
      <c r="A161" s="47" t="s">
        <v>63</v>
      </c>
      <c r="B161" s="75" t="s">
        <v>19</v>
      </c>
      <c r="C161" s="361">
        <f>C150</f>
        <v>1</v>
      </c>
      <c r="D161" s="362"/>
      <c r="E161" s="300">
        <f>ORÇAMENTOS!C68</f>
        <v>5418.2</v>
      </c>
      <c r="F161" s="301"/>
      <c r="G161" s="130">
        <f>C161*E161</f>
        <v>5418.2</v>
      </c>
    </row>
    <row r="162" spans="1:7" ht="13.8" thickBot="1" x14ac:dyDescent="0.3">
      <c r="A162" s="290" t="s">
        <v>64</v>
      </c>
      <c r="B162" s="291"/>
      <c r="C162" s="291"/>
      <c r="D162" s="291"/>
      <c r="E162" s="291"/>
      <c r="F162" s="291"/>
      <c r="G162" s="174">
        <f>(SUM(G158:G161))/12</f>
        <v>912.18583333333333</v>
      </c>
    </row>
    <row r="163" spans="1:7" ht="13.8" thickBot="1" x14ac:dyDescent="0.3">
      <c r="C163" s="321"/>
      <c r="D163" s="321"/>
      <c r="E163" s="232"/>
    </row>
    <row r="164" spans="1:7" ht="15" customHeight="1" thickBot="1" x14ac:dyDescent="0.3">
      <c r="A164" s="48" t="s">
        <v>116</v>
      </c>
      <c r="B164" s="217" t="s">
        <v>12</v>
      </c>
      <c r="C164" s="284" t="s">
        <v>13</v>
      </c>
      <c r="D164" s="285"/>
      <c r="E164" s="284" t="s">
        <v>14</v>
      </c>
      <c r="F164" s="285"/>
      <c r="G164" s="8" t="s">
        <v>15</v>
      </c>
    </row>
    <row r="165" spans="1:7" ht="14.4" customHeight="1" x14ac:dyDescent="0.25">
      <c r="A165" s="49" t="s">
        <v>65</v>
      </c>
      <c r="B165" s="10" t="s">
        <v>66</v>
      </c>
      <c r="C165" s="323">
        <v>10</v>
      </c>
      <c r="D165" s="324"/>
      <c r="E165" s="304">
        <f>ORÇAMENTOS!F72</f>
        <v>6.3566666666666665</v>
      </c>
      <c r="F165" s="305"/>
      <c r="G165" s="50" t="s">
        <v>20</v>
      </c>
    </row>
    <row r="166" spans="1:7" ht="13.2" customHeight="1" x14ac:dyDescent="0.25">
      <c r="A166" s="316" t="s">
        <v>184</v>
      </c>
      <c r="B166" s="76" t="s">
        <v>67</v>
      </c>
      <c r="C166" s="306">
        <v>1600</v>
      </c>
      <c r="D166" s="307"/>
      <c r="E166" s="270"/>
      <c r="F166" s="271"/>
      <c r="G166" s="51" t="s">
        <v>20</v>
      </c>
    </row>
    <row r="167" spans="1:7" x14ac:dyDescent="0.25">
      <c r="A167" s="317"/>
      <c r="B167" s="74" t="s">
        <v>68</v>
      </c>
      <c r="C167" s="319">
        <f>C166/C165</f>
        <v>160</v>
      </c>
      <c r="D167" s="320"/>
      <c r="E167" s="270"/>
      <c r="F167" s="271"/>
      <c r="G167" s="13">
        <f>E165*C167</f>
        <v>1017.0666666666666</v>
      </c>
    </row>
    <row r="168" spans="1:7" ht="14.4" customHeight="1" x14ac:dyDescent="0.25">
      <c r="A168" s="128" t="s">
        <v>69</v>
      </c>
      <c r="B168" s="76" t="s">
        <v>66</v>
      </c>
      <c r="C168" s="310">
        <v>1</v>
      </c>
      <c r="D168" s="311"/>
      <c r="E168" s="274">
        <f>ORÇAMENTOS!F73</f>
        <v>28.08</v>
      </c>
      <c r="F168" s="275"/>
      <c r="G168" s="51" t="s">
        <v>20</v>
      </c>
    </row>
    <row r="169" spans="1:7" ht="13.2" customHeight="1" x14ac:dyDescent="0.25">
      <c r="A169" s="316" t="s">
        <v>185</v>
      </c>
      <c r="B169" s="76" t="s">
        <v>67</v>
      </c>
      <c r="C169" s="306">
        <v>1600</v>
      </c>
      <c r="D169" s="307"/>
      <c r="E169" s="270"/>
      <c r="F169" s="271"/>
      <c r="G169" s="53" t="s">
        <v>20</v>
      </c>
    </row>
    <row r="170" spans="1:7" x14ac:dyDescent="0.25">
      <c r="A170" s="317"/>
      <c r="B170" s="74" t="s">
        <v>68</v>
      </c>
      <c r="C170" s="308">
        <f>C169/5000</f>
        <v>0.32</v>
      </c>
      <c r="D170" s="309"/>
      <c r="E170" s="272"/>
      <c r="F170" s="273"/>
      <c r="G170" s="13">
        <f>E168*C170</f>
        <v>8.9855999999999998</v>
      </c>
    </row>
    <row r="171" spans="1:7" ht="14.4" customHeight="1" x14ac:dyDescent="0.25">
      <c r="A171" s="128" t="s">
        <v>70</v>
      </c>
      <c r="B171" s="76" t="s">
        <v>66</v>
      </c>
      <c r="C171" s="310">
        <v>1</v>
      </c>
      <c r="D171" s="311"/>
      <c r="E171" s="274">
        <f>ORÇAMENTOS!F74</f>
        <v>28.400000000000002</v>
      </c>
      <c r="F171" s="275"/>
      <c r="G171" s="51" t="s">
        <v>20</v>
      </c>
    </row>
    <row r="172" spans="1:7" ht="13.2" customHeight="1" x14ac:dyDescent="0.25">
      <c r="A172" s="316" t="s">
        <v>186</v>
      </c>
      <c r="B172" s="76" t="s">
        <v>67</v>
      </c>
      <c r="C172" s="306">
        <v>1600</v>
      </c>
      <c r="D172" s="307"/>
      <c r="E172" s="270"/>
      <c r="F172" s="271"/>
      <c r="G172" s="54" t="s">
        <v>20</v>
      </c>
    </row>
    <row r="173" spans="1:7" x14ac:dyDescent="0.25">
      <c r="A173" s="317"/>
      <c r="B173" s="74" t="s">
        <v>68</v>
      </c>
      <c r="C173" s="308">
        <f>C172/5000</f>
        <v>0.32</v>
      </c>
      <c r="D173" s="309"/>
      <c r="E173" s="272"/>
      <c r="F173" s="273"/>
      <c r="G173" s="13">
        <f>E171*C173</f>
        <v>9.088000000000001</v>
      </c>
    </row>
    <row r="174" spans="1:7" ht="14.4" customHeight="1" x14ac:dyDescent="0.25">
      <c r="A174" s="128" t="s">
        <v>71</v>
      </c>
      <c r="B174" s="76" t="s">
        <v>66</v>
      </c>
      <c r="C174" s="310">
        <v>1</v>
      </c>
      <c r="D174" s="311"/>
      <c r="E174" s="274">
        <f>ORÇAMENTOS!F75</f>
        <v>32.536499999999997</v>
      </c>
      <c r="F174" s="275"/>
      <c r="G174" s="51" t="s">
        <v>20</v>
      </c>
    </row>
    <row r="175" spans="1:7" ht="13.2" customHeight="1" x14ac:dyDescent="0.25">
      <c r="A175" s="316" t="s">
        <v>187</v>
      </c>
      <c r="B175" s="76" t="s">
        <v>67</v>
      </c>
      <c r="C175" s="306">
        <v>1600</v>
      </c>
      <c r="D175" s="307"/>
      <c r="E175" s="270"/>
      <c r="F175" s="271"/>
      <c r="G175" s="54" t="s">
        <v>20</v>
      </c>
    </row>
    <row r="176" spans="1:7" x14ac:dyDescent="0.25">
      <c r="A176" s="317"/>
      <c r="B176" s="74" t="s">
        <v>68</v>
      </c>
      <c r="C176" s="308">
        <f>C175/5000</f>
        <v>0.32</v>
      </c>
      <c r="D176" s="309"/>
      <c r="E176" s="272"/>
      <c r="F176" s="273"/>
      <c r="G176" s="13">
        <f>E174*C176</f>
        <v>10.411679999999999</v>
      </c>
    </row>
    <row r="177" spans="1:7" ht="14.4" customHeight="1" x14ac:dyDescent="0.25">
      <c r="A177" s="128" t="s">
        <v>72</v>
      </c>
      <c r="B177" s="76" t="s">
        <v>66</v>
      </c>
      <c r="C177" s="310">
        <v>1</v>
      </c>
      <c r="D177" s="311"/>
      <c r="E177" s="274">
        <f>ORÇAMENTOS!F76</f>
        <v>32.396666666666668</v>
      </c>
      <c r="F177" s="275"/>
      <c r="G177" s="51" t="s">
        <v>20</v>
      </c>
    </row>
    <row r="178" spans="1:7" ht="13.2" customHeight="1" x14ac:dyDescent="0.25">
      <c r="A178" s="316" t="s">
        <v>188</v>
      </c>
      <c r="B178" s="76" t="s">
        <v>67</v>
      </c>
      <c r="C178" s="306">
        <v>1600</v>
      </c>
      <c r="D178" s="307"/>
      <c r="E178" s="270"/>
      <c r="F178" s="271"/>
      <c r="G178" s="54" t="s">
        <v>20</v>
      </c>
    </row>
    <row r="179" spans="1:7" ht="13.8" thickBot="1" x14ac:dyDescent="0.3">
      <c r="A179" s="318"/>
      <c r="B179" s="14" t="s">
        <v>68</v>
      </c>
      <c r="C179" s="353">
        <f>C178/5000</f>
        <v>0.32</v>
      </c>
      <c r="D179" s="354"/>
      <c r="E179" s="394"/>
      <c r="F179" s="395"/>
      <c r="G179" s="15">
        <f>E177*C179</f>
        <v>10.366933333333334</v>
      </c>
    </row>
    <row r="180" spans="1:7" ht="13.8" thickBot="1" x14ac:dyDescent="0.3">
      <c r="A180" s="159" t="s">
        <v>73</v>
      </c>
      <c r="B180" s="160"/>
      <c r="C180" s="160"/>
      <c r="D180" s="160"/>
      <c r="E180" s="160"/>
      <c r="F180" s="160"/>
      <c r="G180" s="158">
        <f>SUM(G165:G179)</f>
        <v>1055.9188799999997</v>
      </c>
    </row>
    <row r="181" spans="1:7" ht="13.8" thickBot="1" x14ac:dyDescent="0.3">
      <c r="A181" s="17"/>
      <c r="B181" s="222"/>
      <c r="C181" s="269"/>
      <c r="D181" s="269"/>
      <c r="E181" s="222"/>
      <c r="F181" s="222"/>
      <c r="G181" s="21"/>
    </row>
    <row r="182" spans="1:7" ht="15" customHeight="1" thickBot="1" x14ac:dyDescent="0.3">
      <c r="A182" s="38" t="s">
        <v>117</v>
      </c>
      <c r="B182" s="219" t="s">
        <v>12</v>
      </c>
      <c r="C182" s="284" t="s">
        <v>13</v>
      </c>
      <c r="D182" s="285"/>
      <c r="E182" s="284" t="s">
        <v>14</v>
      </c>
      <c r="F182" s="285"/>
      <c r="G182" s="33" t="s">
        <v>15</v>
      </c>
    </row>
    <row r="183" spans="1:7" ht="14.4" customHeight="1" x14ac:dyDescent="0.25">
      <c r="A183" s="55" t="s">
        <v>74</v>
      </c>
      <c r="B183" s="220" t="s">
        <v>19</v>
      </c>
      <c r="C183" s="325">
        <v>8</v>
      </c>
      <c r="D183" s="326"/>
      <c r="E183" s="396">
        <f>ORÇAMENTOS!F80</f>
        <v>39.669999999999995</v>
      </c>
      <c r="F183" s="397"/>
      <c r="G183" s="46">
        <f>E183*C183</f>
        <v>317.35999999999996</v>
      </c>
    </row>
    <row r="184" spans="1:7" ht="14.4" customHeight="1" x14ac:dyDescent="0.25">
      <c r="A184" s="56" t="s">
        <v>77</v>
      </c>
      <c r="B184" s="218" t="s">
        <v>78</v>
      </c>
      <c r="C184" s="280">
        <v>1</v>
      </c>
      <c r="D184" s="281"/>
      <c r="E184" s="398">
        <f>ORÇAMENTOS!F81</f>
        <v>779.9666666666667</v>
      </c>
      <c r="F184" s="399"/>
      <c r="G184" s="13">
        <f>E184*C184</f>
        <v>779.9666666666667</v>
      </c>
    </row>
    <row r="185" spans="1:7" ht="15" customHeight="1" thickBot="1" x14ac:dyDescent="0.3">
      <c r="A185" s="56" t="s">
        <v>79</v>
      </c>
      <c r="B185" s="218" t="s">
        <v>78</v>
      </c>
      <c r="C185" s="351">
        <v>1</v>
      </c>
      <c r="D185" s="352"/>
      <c r="E185" s="400">
        <f>ORÇAMENTOS!F82</f>
        <v>779.9666666666667</v>
      </c>
      <c r="F185" s="401"/>
      <c r="G185" s="13">
        <f>E185*C185</f>
        <v>779.9666666666667</v>
      </c>
    </row>
    <row r="186" spans="1:7" ht="13.8" thickBot="1" x14ac:dyDescent="0.3">
      <c r="A186" s="152" t="s">
        <v>80</v>
      </c>
      <c r="B186" s="153"/>
      <c r="C186" s="153"/>
      <c r="D186" s="153"/>
      <c r="E186" s="153"/>
      <c r="F186" s="153"/>
      <c r="G186" s="158">
        <f>SUM(G183:G185)/12</f>
        <v>156.4411111111111</v>
      </c>
    </row>
    <row r="187" spans="1:7" ht="13.8" thickBot="1" x14ac:dyDescent="0.3">
      <c r="A187" s="17"/>
      <c r="B187" s="222"/>
      <c r="C187" s="269"/>
      <c r="D187" s="269"/>
      <c r="E187" s="222"/>
      <c r="F187" s="222"/>
      <c r="G187" s="222"/>
    </row>
    <row r="188" spans="1:7" ht="15" customHeight="1" thickBot="1" x14ac:dyDescent="0.3">
      <c r="A188" s="48" t="s">
        <v>81</v>
      </c>
      <c r="B188" s="217" t="s">
        <v>12</v>
      </c>
      <c r="C188" s="284" t="s">
        <v>13</v>
      </c>
      <c r="D188" s="285"/>
      <c r="E188" s="284" t="s">
        <v>14</v>
      </c>
      <c r="F188" s="285"/>
      <c r="G188" s="8" t="s">
        <v>15</v>
      </c>
    </row>
    <row r="189" spans="1:7" ht="14.4" customHeight="1" x14ac:dyDescent="0.25">
      <c r="A189" s="57" t="s">
        <v>189</v>
      </c>
      <c r="B189" s="10" t="s">
        <v>19</v>
      </c>
      <c r="C189" s="359">
        <v>1</v>
      </c>
      <c r="D189" s="360"/>
      <c r="E189" s="302">
        <f>ORÇAMENTOS!F86</f>
        <v>1788.9766666666667</v>
      </c>
      <c r="F189" s="303"/>
      <c r="G189" s="58">
        <f>C189*E189</f>
        <v>1788.9766666666667</v>
      </c>
    </row>
    <row r="190" spans="1:7" ht="14.4" customHeight="1" x14ac:dyDescent="0.25">
      <c r="A190" s="59" t="s">
        <v>190</v>
      </c>
      <c r="B190" s="76" t="s">
        <v>19</v>
      </c>
      <c r="C190" s="278">
        <v>1</v>
      </c>
      <c r="D190" s="279"/>
      <c r="E190" s="298">
        <f>ORÇAMENTOS!F87</f>
        <v>161.41666666666666</v>
      </c>
      <c r="F190" s="299"/>
      <c r="G190" s="13">
        <f>C190*E190</f>
        <v>161.41666666666666</v>
      </c>
    </row>
    <row r="191" spans="1:7" ht="14.4" customHeight="1" x14ac:dyDescent="0.25">
      <c r="A191" s="30" t="s">
        <v>82</v>
      </c>
      <c r="B191" s="76" t="s">
        <v>19</v>
      </c>
      <c r="C191" s="278">
        <v>1</v>
      </c>
      <c r="D191" s="279"/>
      <c r="E191" s="298">
        <f>ORÇAMENTOS!E88</f>
        <v>46.9</v>
      </c>
      <c r="F191" s="299"/>
      <c r="G191" s="13">
        <f>C191*E191</f>
        <v>46.9</v>
      </c>
    </row>
    <row r="192" spans="1:7" ht="14.4" customHeight="1" x14ac:dyDescent="0.25">
      <c r="A192" s="59" t="s">
        <v>83</v>
      </c>
      <c r="B192" s="76" t="s">
        <v>67</v>
      </c>
      <c r="C192" s="270">
        <v>30000</v>
      </c>
      <c r="D192" s="271"/>
      <c r="E192" s="402">
        <f>+G189+G190+G191</f>
        <v>1997.2933333333335</v>
      </c>
      <c r="F192" s="403"/>
      <c r="G192" s="13">
        <f>E192/C192</f>
        <v>6.6576444444444452E-2</v>
      </c>
    </row>
    <row r="193" spans="1:7" ht="14.4" customHeight="1" x14ac:dyDescent="0.25">
      <c r="A193" s="60" t="s">
        <v>84</v>
      </c>
      <c r="B193" s="76" t="s">
        <v>67</v>
      </c>
      <c r="C193" s="306">
        <v>1600</v>
      </c>
      <c r="D193" s="307"/>
      <c r="E193" s="404" t="s">
        <v>20</v>
      </c>
      <c r="F193" s="405"/>
      <c r="G193" s="13">
        <f>G192*C193</f>
        <v>106.52231111111112</v>
      </c>
    </row>
    <row r="194" spans="1:7" ht="15" customHeight="1" thickBot="1" x14ac:dyDescent="0.3">
      <c r="A194" s="61" t="s">
        <v>85</v>
      </c>
      <c r="B194" s="62" t="s">
        <v>86</v>
      </c>
      <c r="C194" s="335">
        <v>1600</v>
      </c>
      <c r="D194" s="336"/>
      <c r="E194" s="406">
        <f>0.74+(0.74*(42.16/100))</f>
        <v>1.051984</v>
      </c>
      <c r="F194" s="407"/>
      <c r="G194" s="15">
        <f>C194*E194</f>
        <v>1683.1744000000001</v>
      </c>
    </row>
    <row r="195" spans="1:7" ht="15" customHeight="1" thickBot="1" x14ac:dyDescent="0.3">
      <c r="A195" s="22" t="s">
        <v>87</v>
      </c>
      <c r="B195" s="16" t="s">
        <v>191</v>
      </c>
      <c r="C195" s="329">
        <v>1</v>
      </c>
      <c r="D195" s="330"/>
      <c r="E195" s="366">
        <f>G193+G194</f>
        <v>1789.6967111111112</v>
      </c>
      <c r="F195" s="367"/>
      <c r="G195" s="157">
        <f>E195*C195</f>
        <v>1789.6967111111112</v>
      </c>
    </row>
    <row r="196" spans="1:7" ht="13.8" thickBot="1" x14ac:dyDescent="0.3">
      <c r="A196" s="221"/>
      <c r="B196" s="221"/>
      <c r="C196" s="322"/>
      <c r="D196" s="322"/>
      <c r="E196" s="234"/>
      <c r="F196" s="221"/>
      <c r="G196" s="221"/>
    </row>
    <row r="197" spans="1:7" ht="13.8" thickBot="1" x14ac:dyDescent="0.3">
      <c r="A197" s="229" t="s">
        <v>88</v>
      </c>
      <c r="B197" s="230"/>
      <c r="C197" s="230"/>
      <c r="D197" s="230"/>
      <c r="E197" s="235"/>
      <c r="F197" s="230"/>
      <c r="G197" s="18">
        <f>G155+G162+G180+G186+G195</f>
        <v>4864.6031466666664</v>
      </c>
    </row>
    <row r="198" spans="1:7" x14ac:dyDescent="0.25">
      <c r="A198" s="221"/>
      <c r="B198" s="221"/>
      <c r="C198" s="355"/>
      <c r="D198" s="355"/>
      <c r="E198" s="234"/>
      <c r="F198" s="221"/>
      <c r="G198" s="221"/>
    </row>
    <row r="199" spans="1:7" ht="13.8" thickBot="1" x14ac:dyDescent="0.3">
      <c r="C199" s="363"/>
      <c r="D199" s="363"/>
      <c r="E199" s="232"/>
    </row>
    <row r="200" spans="1:7" ht="13.8" thickBot="1" x14ac:dyDescent="0.3">
      <c r="A200" s="368" t="s">
        <v>118</v>
      </c>
      <c r="B200" s="369"/>
      <c r="C200" s="369"/>
      <c r="D200" s="369"/>
      <c r="E200" s="369"/>
      <c r="F200" s="369"/>
      <c r="G200" s="370"/>
    </row>
    <row r="201" spans="1:7" ht="13.8" thickBot="1" x14ac:dyDescent="0.3">
      <c r="C201" s="321"/>
      <c r="D201" s="321"/>
      <c r="E201" s="232"/>
    </row>
    <row r="202" spans="1:7" ht="15" customHeight="1" thickBot="1" x14ac:dyDescent="0.3">
      <c r="A202" s="25" t="s">
        <v>119</v>
      </c>
      <c r="B202" s="217" t="s">
        <v>12</v>
      </c>
      <c r="C202" s="284" t="s">
        <v>13</v>
      </c>
      <c r="D202" s="285"/>
      <c r="E202" s="284" t="s">
        <v>14</v>
      </c>
      <c r="F202" s="285"/>
      <c r="G202" s="8" t="s">
        <v>15</v>
      </c>
    </row>
    <row r="203" spans="1:7" ht="14.4" customHeight="1" x14ac:dyDescent="0.25">
      <c r="A203" s="26" t="s">
        <v>44</v>
      </c>
      <c r="B203" s="27" t="s">
        <v>19</v>
      </c>
      <c r="C203" s="359">
        <v>25</v>
      </c>
      <c r="D203" s="360"/>
      <c r="E203" s="396">
        <f>ORÇAMENTOS!F92</f>
        <v>23.279999999999998</v>
      </c>
      <c r="F203" s="397"/>
      <c r="G203" s="28">
        <f t="shared" ref="G203:G222" si="7">E203*C203</f>
        <v>581.99999999999989</v>
      </c>
    </row>
    <row r="204" spans="1:7" ht="14.4" customHeight="1" x14ac:dyDescent="0.25">
      <c r="A204" s="30" t="s">
        <v>45</v>
      </c>
      <c r="B204" s="76" t="s">
        <v>19</v>
      </c>
      <c r="C204" s="278">
        <v>9</v>
      </c>
      <c r="D204" s="279"/>
      <c r="E204" s="398">
        <f>ORÇAMENTOS!F93</f>
        <v>329.9</v>
      </c>
      <c r="F204" s="399"/>
      <c r="G204" s="28">
        <f t="shared" si="7"/>
        <v>2969.1</v>
      </c>
    </row>
    <row r="205" spans="1:7" ht="14.4" customHeight="1" x14ac:dyDescent="0.25">
      <c r="A205" s="30" t="s">
        <v>46</v>
      </c>
      <c r="B205" s="76" t="s">
        <v>19</v>
      </c>
      <c r="C205" s="278">
        <v>9</v>
      </c>
      <c r="D205" s="279"/>
      <c r="E205" s="398">
        <f>ORÇAMENTOS!F94</f>
        <v>37.130000000000003</v>
      </c>
      <c r="F205" s="399"/>
      <c r="G205" s="20">
        <f t="shared" si="7"/>
        <v>334.17</v>
      </c>
    </row>
    <row r="206" spans="1:7" ht="14.4" customHeight="1" x14ac:dyDescent="0.25">
      <c r="A206" s="31" t="s">
        <v>47</v>
      </c>
      <c r="B206" s="76" t="s">
        <v>19</v>
      </c>
      <c r="C206" s="278">
        <v>9</v>
      </c>
      <c r="D206" s="279"/>
      <c r="E206" s="398">
        <f>ORÇAMENTOS!F95</f>
        <v>17.706666666666667</v>
      </c>
      <c r="F206" s="399"/>
      <c r="G206" s="20">
        <f t="shared" si="7"/>
        <v>159.36000000000001</v>
      </c>
    </row>
    <row r="207" spans="1:7" ht="14.4" customHeight="1" x14ac:dyDescent="0.25">
      <c r="A207" s="31" t="s">
        <v>48</v>
      </c>
      <c r="B207" s="76" t="s">
        <v>19</v>
      </c>
      <c r="C207" s="278">
        <v>9</v>
      </c>
      <c r="D207" s="279"/>
      <c r="E207" s="398">
        <f>ORÇAMENTOS!F96</f>
        <v>18.79</v>
      </c>
      <c r="F207" s="399"/>
      <c r="G207" s="20">
        <f t="shared" si="7"/>
        <v>169.10999999999999</v>
      </c>
    </row>
    <row r="208" spans="1:7" ht="14.4" customHeight="1" x14ac:dyDescent="0.25">
      <c r="A208" s="34" t="s">
        <v>91</v>
      </c>
      <c r="B208" s="74" t="s">
        <v>19</v>
      </c>
      <c r="C208" s="278">
        <v>4</v>
      </c>
      <c r="D208" s="279"/>
      <c r="E208" s="398">
        <f>ORÇAMENTOS!F97</f>
        <v>285.83333333333331</v>
      </c>
      <c r="F208" s="399"/>
      <c r="G208" s="20">
        <f t="shared" si="7"/>
        <v>1143.3333333333333</v>
      </c>
    </row>
    <row r="209" spans="1:7" ht="14.4" customHeight="1" x14ac:dyDescent="0.25">
      <c r="A209" s="34" t="s">
        <v>92</v>
      </c>
      <c r="B209" s="74" t="s">
        <v>19</v>
      </c>
      <c r="C209" s="278">
        <v>13</v>
      </c>
      <c r="D209" s="279"/>
      <c r="E209" s="398">
        <f>ORÇAMENTOS!F98</f>
        <v>63.28</v>
      </c>
      <c r="F209" s="399"/>
      <c r="G209" s="20">
        <f t="shared" si="7"/>
        <v>822.64</v>
      </c>
    </row>
    <row r="210" spans="1:7" ht="14.4" customHeight="1" x14ac:dyDescent="0.25">
      <c r="A210" s="34" t="s">
        <v>93</v>
      </c>
      <c r="B210" s="74" t="s">
        <v>19</v>
      </c>
      <c r="C210" s="278">
        <v>13</v>
      </c>
      <c r="D210" s="279"/>
      <c r="E210" s="398">
        <f>ORÇAMENTOS!F99</f>
        <v>44.726666666666667</v>
      </c>
      <c r="F210" s="399"/>
      <c r="G210" s="20">
        <f t="shared" si="7"/>
        <v>581.44666666666672</v>
      </c>
    </row>
    <row r="211" spans="1:7" ht="14.4" customHeight="1" x14ac:dyDescent="0.25">
      <c r="A211" s="34" t="s">
        <v>94</v>
      </c>
      <c r="B211" s="74" t="s">
        <v>19</v>
      </c>
      <c r="C211" s="278">
        <v>13</v>
      </c>
      <c r="D211" s="279"/>
      <c r="E211" s="398">
        <f>ORÇAMENTOS!F100</f>
        <v>33.306666666666665</v>
      </c>
      <c r="F211" s="399"/>
      <c r="G211" s="20">
        <f t="shared" si="7"/>
        <v>432.98666666666662</v>
      </c>
    </row>
    <row r="212" spans="1:7" ht="14.4" customHeight="1" x14ac:dyDescent="0.25">
      <c r="A212" s="34" t="s">
        <v>95</v>
      </c>
      <c r="B212" s="74" t="s">
        <v>19</v>
      </c>
      <c r="C212" s="278">
        <v>2</v>
      </c>
      <c r="D212" s="279"/>
      <c r="E212" s="398">
        <f>ORÇAMENTOS!F101</f>
        <v>1226.9433333333334</v>
      </c>
      <c r="F212" s="399"/>
      <c r="G212" s="20">
        <f t="shared" si="7"/>
        <v>2453.8866666666668</v>
      </c>
    </row>
    <row r="213" spans="1:7" ht="40.200000000000003" customHeight="1" x14ac:dyDescent="0.25">
      <c r="A213" s="172" t="s">
        <v>96</v>
      </c>
      <c r="B213" s="74" t="s">
        <v>19</v>
      </c>
      <c r="C213" s="278">
        <v>2</v>
      </c>
      <c r="D213" s="279"/>
      <c r="E213" s="398">
        <f>ORÇAMENTOS!F102</f>
        <v>3462.9666666666667</v>
      </c>
      <c r="F213" s="399"/>
      <c r="G213" s="20">
        <f t="shared" si="7"/>
        <v>6925.9333333333334</v>
      </c>
    </row>
    <row r="214" spans="1:7" ht="14.4" customHeight="1" x14ac:dyDescent="0.25">
      <c r="A214" s="34" t="s">
        <v>97</v>
      </c>
      <c r="B214" s="74" t="s">
        <v>19</v>
      </c>
      <c r="C214" s="278">
        <v>13</v>
      </c>
      <c r="D214" s="279"/>
      <c r="E214" s="398">
        <f>ORÇAMENTOS!F103</f>
        <v>41.50333333333333</v>
      </c>
      <c r="F214" s="399"/>
      <c r="G214" s="20">
        <f t="shared" si="7"/>
        <v>539.54333333333329</v>
      </c>
    </row>
    <row r="215" spans="1:7" ht="14.4" customHeight="1" x14ac:dyDescent="0.25">
      <c r="A215" s="34" t="s">
        <v>98</v>
      </c>
      <c r="B215" s="74" t="s">
        <v>19</v>
      </c>
      <c r="C215" s="278">
        <v>13</v>
      </c>
      <c r="D215" s="279"/>
      <c r="E215" s="398">
        <f>ORÇAMENTOS!F104</f>
        <v>68.209999999999994</v>
      </c>
      <c r="F215" s="399"/>
      <c r="G215" s="20">
        <f t="shared" si="7"/>
        <v>886.7299999999999</v>
      </c>
    </row>
    <row r="216" spans="1:7" ht="27" customHeight="1" x14ac:dyDescent="0.25">
      <c r="A216" s="172" t="s">
        <v>99</v>
      </c>
      <c r="B216" s="74" t="s">
        <v>19</v>
      </c>
      <c r="C216" s="278">
        <v>2</v>
      </c>
      <c r="D216" s="279"/>
      <c r="E216" s="398">
        <f>ORÇAMENTOS!F105</f>
        <v>1098.1766666666665</v>
      </c>
      <c r="F216" s="399"/>
      <c r="G216" s="20">
        <f t="shared" si="7"/>
        <v>2196.353333333333</v>
      </c>
    </row>
    <row r="217" spans="1:7" ht="14.4" customHeight="1" x14ac:dyDescent="0.25">
      <c r="A217" s="34" t="s">
        <v>100</v>
      </c>
      <c r="B217" s="74" t="s">
        <v>19</v>
      </c>
      <c r="C217" s="278">
        <v>25</v>
      </c>
      <c r="D217" s="279"/>
      <c r="E217" s="398">
        <f>ORÇAMENTOS!F106</f>
        <v>21.696666666666669</v>
      </c>
      <c r="F217" s="399"/>
      <c r="G217" s="20">
        <f t="shared" si="7"/>
        <v>542.41666666666674</v>
      </c>
    </row>
    <row r="218" spans="1:7" ht="14.4" customHeight="1" x14ac:dyDescent="0.25">
      <c r="A218" s="34" t="s">
        <v>101</v>
      </c>
      <c r="B218" s="74" t="s">
        <v>19</v>
      </c>
      <c r="C218" s="278">
        <v>5</v>
      </c>
      <c r="D218" s="279"/>
      <c r="E218" s="398">
        <f>ORÇAMENTOS!F107</f>
        <v>1339.3333333333333</v>
      </c>
      <c r="F218" s="399"/>
      <c r="G218" s="20">
        <f t="shared" si="7"/>
        <v>6696.6666666666661</v>
      </c>
    </row>
    <row r="219" spans="1:7" ht="27" customHeight="1" x14ac:dyDescent="0.25">
      <c r="A219" s="172" t="s">
        <v>102</v>
      </c>
      <c r="B219" s="74" t="s">
        <v>19</v>
      </c>
      <c r="C219" s="278">
        <v>13</v>
      </c>
      <c r="D219" s="279"/>
      <c r="E219" s="398">
        <f>ORÇAMENTOS!F108</f>
        <v>1323.2333333333333</v>
      </c>
      <c r="F219" s="399"/>
      <c r="G219" s="20">
        <f t="shared" si="7"/>
        <v>17202.033333333333</v>
      </c>
    </row>
    <row r="220" spans="1:7" ht="14.4" customHeight="1" x14ac:dyDescent="0.25">
      <c r="A220" s="34" t="s">
        <v>103</v>
      </c>
      <c r="B220" s="74" t="s">
        <v>19</v>
      </c>
      <c r="C220" s="278">
        <v>25</v>
      </c>
      <c r="D220" s="279"/>
      <c r="E220" s="398">
        <f>ORÇAMENTOS!F109</f>
        <v>17.706666666666667</v>
      </c>
      <c r="F220" s="399"/>
      <c r="G220" s="20">
        <f t="shared" si="7"/>
        <v>442.66666666666669</v>
      </c>
    </row>
    <row r="221" spans="1:7" ht="14.4" customHeight="1" x14ac:dyDescent="0.25">
      <c r="A221" s="34" t="s">
        <v>89</v>
      </c>
      <c r="B221" s="74" t="s">
        <v>19</v>
      </c>
      <c r="C221" s="278">
        <f>4*52</f>
        <v>208</v>
      </c>
      <c r="D221" s="279"/>
      <c r="E221" s="398">
        <f>ORÇAMENTOS!F110</f>
        <v>10.063333333333334</v>
      </c>
      <c r="F221" s="399"/>
      <c r="G221" s="20">
        <f t="shared" si="7"/>
        <v>2093.1733333333336</v>
      </c>
    </row>
    <row r="222" spans="1:7" ht="15" customHeight="1" thickBot="1" x14ac:dyDescent="0.3">
      <c r="A222" s="34" t="s">
        <v>90</v>
      </c>
      <c r="B222" s="74" t="s">
        <v>19</v>
      </c>
      <c r="C222" s="276">
        <f>4*52</f>
        <v>208</v>
      </c>
      <c r="D222" s="277"/>
      <c r="E222" s="400">
        <f>ORÇAMENTOS!F111</f>
        <v>26.8</v>
      </c>
      <c r="F222" s="401"/>
      <c r="G222" s="20">
        <f t="shared" si="7"/>
        <v>5574.4000000000005</v>
      </c>
    </row>
    <row r="223" spans="1:7" ht="13.8" thickBot="1" x14ac:dyDescent="0.3">
      <c r="A223" s="290" t="s">
        <v>120</v>
      </c>
      <c r="B223" s="291"/>
      <c r="C223" s="291"/>
      <c r="D223" s="291"/>
      <c r="E223" s="291"/>
      <c r="F223" s="291"/>
      <c r="G223" s="158">
        <f>SUM(G203:G222)</f>
        <v>52747.95</v>
      </c>
    </row>
    <row r="224" spans="1:7" x14ac:dyDescent="0.25">
      <c r="A224" s="19"/>
      <c r="B224" s="19"/>
      <c r="C224" s="355"/>
      <c r="D224" s="355"/>
      <c r="E224" s="234"/>
      <c r="F224" s="19"/>
      <c r="G224" s="21"/>
    </row>
    <row r="225" spans="1:7" ht="13.8" thickBot="1" x14ac:dyDescent="0.3">
      <c r="A225" s="19"/>
      <c r="B225" s="19"/>
      <c r="C225" s="356"/>
      <c r="D225" s="356"/>
      <c r="E225" s="234"/>
      <c r="F225" s="19"/>
      <c r="G225" s="21"/>
    </row>
    <row r="226" spans="1:7" ht="15" customHeight="1" thickBot="1" x14ac:dyDescent="0.3">
      <c r="A226" s="32" t="s">
        <v>104</v>
      </c>
      <c r="B226" s="219" t="s">
        <v>12</v>
      </c>
      <c r="C226" s="284" t="s">
        <v>13</v>
      </c>
      <c r="D226" s="285"/>
      <c r="E226" s="284" t="s">
        <v>14</v>
      </c>
      <c r="F226" s="285"/>
      <c r="G226" s="33" t="s">
        <v>15</v>
      </c>
    </row>
    <row r="227" spans="1:7" customFormat="1" ht="14.4" x14ac:dyDescent="0.3">
      <c r="A227" s="77" t="s">
        <v>215</v>
      </c>
      <c r="B227" s="216" t="s">
        <v>179</v>
      </c>
      <c r="C227" s="359">
        <f>C219*26*5</f>
        <v>1690</v>
      </c>
      <c r="D227" s="360"/>
      <c r="E227" s="396">
        <f>ORÇAMENTOS!F115</f>
        <v>33.6</v>
      </c>
      <c r="F227" s="397"/>
      <c r="G227" s="63">
        <f>C227*E227</f>
        <v>56784</v>
      </c>
    </row>
    <row r="228" spans="1:7" customFormat="1" ht="14.4" x14ac:dyDescent="0.3">
      <c r="A228" s="56" t="s">
        <v>216</v>
      </c>
      <c r="B228" s="74" t="s">
        <v>217</v>
      </c>
      <c r="C228" s="278">
        <v>50</v>
      </c>
      <c r="D228" s="279"/>
      <c r="E228" s="398">
        <f>ORÇAMENTOS!F116</f>
        <v>35.673333333333332</v>
      </c>
      <c r="F228" s="399"/>
      <c r="G228" s="20">
        <f>C228*E228</f>
        <v>1783.6666666666665</v>
      </c>
    </row>
    <row r="229" spans="1:7" customFormat="1" ht="15" thickBot="1" x14ac:dyDescent="0.35">
      <c r="A229" s="115" t="s">
        <v>221</v>
      </c>
      <c r="B229" s="75" t="s">
        <v>220</v>
      </c>
      <c r="C229" s="276">
        <v>1200</v>
      </c>
      <c r="D229" s="277"/>
      <c r="E229" s="400">
        <v>0.12</v>
      </c>
      <c r="F229" s="401"/>
      <c r="G229" s="211">
        <f>C229*E229</f>
        <v>144</v>
      </c>
    </row>
    <row r="230" spans="1:7" ht="13.8" thickBot="1" x14ac:dyDescent="0.3">
      <c r="A230" s="290" t="s">
        <v>49</v>
      </c>
      <c r="B230" s="291"/>
      <c r="C230" s="291"/>
      <c r="D230" s="291"/>
      <c r="E230" s="291"/>
      <c r="F230" s="291"/>
      <c r="G230" s="158">
        <f>SUM(G227:G229)</f>
        <v>58711.666666666664</v>
      </c>
    </row>
    <row r="231" spans="1:7" ht="13.8" thickBot="1" x14ac:dyDescent="0.3">
      <c r="A231" s="17"/>
      <c r="B231" s="222"/>
      <c r="C231" s="269"/>
      <c r="D231" s="269"/>
      <c r="E231" s="222"/>
      <c r="F231" s="222"/>
      <c r="G231" s="222"/>
    </row>
    <row r="232" spans="1:7" ht="15" customHeight="1" thickBot="1" x14ac:dyDescent="0.3">
      <c r="A232" s="25" t="s">
        <v>122</v>
      </c>
      <c r="B232" s="217" t="s">
        <v>12</v>
      </c>
      <c r="C232" s="284" t="s">
        <v>13</v>
      </c>
      <c r="D232" s="285"/>
      <c r="E232" s="284" t="s">
        <v>14</v>
      </c>
      <c r="F232" s="285"/>
      <c r="G232" s="8" t="s">
        <v>15</v>
      </c>
    </row>
    <row r="233" spans="1:7" ht="14.4" customHeight="1" x14ac:dyDescent="0.25">
      <c r="A233" s="56" t="s">
        <v>75</v>
      </c>
      <c r="B233" s="218" t="s">
        <v>19</v>
      </c>
      <c r="C233" s="357">
        <f>4*5</f>
        <v>20</v>
      </c>
      <c r="D233" s="358"/>
      <c r="E233" s="396">
        <f>ORÇAMENTOS!F119</f>
        <v>35.93333333333333</v>
      </c>
      <c r="F233" s="397"/>
      <c r="G233" s="13">
        <f>C233*E233</f>
        <v>718.66666666666663</v>
      </c>
    </row>
    <row r="234" spans="1:7" ht="14.4" customHeight="1" x14ac:dyDescent="0.25">
      <c r="A234" s="56" t="s">
        <v>76</v>
      </c>
      <c r="B234" s="218" t="s">
        <v>19</v>
      </c>
      <c r="C234" s="349">
        <f>5*1</f>
        <v>5</v>
      </c>
      <c r="D234" s="350"/>
      <c r="E234" s="398">
        <f>ORÇAMENTOS!F120</f>
        <v>158.33333333333334</v>
      </c>
      <c r="F234" s="399"/>
      <c r="G234" s="13">
        <f>C234*E234</f>
        <v>791.66666666666674</v>
      </c>
    </row>
    <row r="235" spans="1:7" ht="15" customHeight="1" thickBot="1" x14ac:dyDescent="0.3">
      <c r="A235" s="146" t="s">
        <v>121</v>
      </c>
      <c r="B235" s="218" t="s">
        <v>19</v>
      </c>
      <c r="C235" s="295">
        <f>5*1</f>
        <v>5</v>
      </c>
      <c r="D235" s="296"/>
      <c r="E235" s="400">
        <f>ORÇAMENTOS!F121</f>
        <v>150</v>
      </c>
      <c r="F235" s="401"/>
      <c r="G235" s="13">
        <f>C235*E235</f>
        <v>750</v>
      </c>
    </row>
    <row r="236" spans="1:7" ht="13.8" thickBot="1" x14ac:dyDescent="0.3">
      <c r="A236" s="290" t="s">
        <v>123</v>
      </c>
      <c r="B236" s="291"/>
      <c r="C236" s="291"/>
      <c r="D236" s="291"/>
      <c r="E236" s="291"/>
      <c r="F236" s="291"/>
      <c r="G236" s="158">
        <f>SUM(G233:G235)</f>
        <v>2260.3333333333335</v>
      </c>
    </row>
    <row r="237" spans="1:7" ht="13.8" thickBot="1" x14ac:dyDescent="0.3">
      <c r="A237" s="17"/>
      <c r="B237" s="222"/>
      <c r="C237" s="222"/>
      <c r="D237" s="222"/>
      <c r="E237" s="222"/>
      <c r="F237" s="222"/>
      <c r="G237" s="222"/>
    </row>
    <row r="238" spans="1:7" ht="13.8" thickBot="1" x14ac:dyDescent="0.3">
      <c r="A238" s="292" t="s">
        <v>174</v>
      </c>
      <c r="B238" s="293"/>
      <c r="C238" s="293"/>
      <c r="D238" s="293"/>
      <c r="E238" s="293"/>
      <c r="F238" s="293"/>
      <c r="G238" s="18">
        <f>(G223+G236+G230)/12</f>
        <v>9476.6625000000004</v>
      </c>
    </row>
    <row r="239" spans="1:7" x14ac:dyDescent="0.25">
      <c r="A239" s="19"/>
      <c r="B239" s="19"/>
      <c r="C239" s="19"/>
      <c r="D239" s="19"/>
      <c r="E239" s="19"/>
      <c r="F239" s="19"/>
      <c r="G239" s="21"/>
    </row>
    <row r="240" spans="1:7" ht="13.8" thickBot="1" x14ac:dyDescent="0.3">
      <c r="A240" s="19"/>
      <c r="B240" s="19"/>
      <c r="C240" s="212"/>
      <c r="D240" s="19"/>
      <c r="E240" s="19"/>
      <c r="F240" s="19"/>
      <c r="G240" s="21"/>
    </row>
    <row r="241" spans="1:7" ht="13.8" thickBot="1" x14ac:dyDescent="0.3">
      <c r="A241" s="288" t="s">
        <v>50</v>
      </c>
      <c r="B241" s="289"/>
      <c r="C241" s="289"/>
      <c r="D241" s="289"/>
      <c r="E241" s="289"/>
      <c r="F241" s="289"/>
      <c r="G241" s="37">
        <f>G110+G144+G197+G238</f>
        <v>272770.33085174445</v>
      </c>
    </row>
    <row r="243" spans="1:7" ht="13.8" thickBot="1" x14ac:dyDescent="0.3"/>
    <row r="244" spans="1:7" ht="15" customHeight="1" thickBot="1" x14ac:dyDescent="0.3">
      <c r="A244" s="38" t="s">
        <v>105</v>
      </c>
      <c r="B244" s="219" t="s">
        <v>12</v>
      </c>
      <c r="C244" s="284" t="s">
        <v>13</v>
      </c>
      <c r="D244" s="285"/>
      <c r="E244" s="284" t="s">
        <v>14</v>
      </c>
      <c r="F244" s="285"/>
      <c r="G244" s="33" t="s">
        <v>15</v>
      </c>
    </row>
    <row r="245" spans="1:7" ht="15" customHeight="1" thickBot="1" x14ac:dyDescent="0.3">
      <c r="A245" s="39" t="s">
        <v>51</v>
      </c>
      <c r="B245" s="226" t="s">
        <v>52</v>
      </c>
      <c r="C245" s="286">
        <f>BDI!C13</f>
        <v>0.27929999999999999</v>
      </c>
      <c r="D245" s="287"/>
      <c r="E245" s="408">
        <f>G241</f>
        <v>272770.33085174445</v>
      </c>
      <c r="F245" s="409"/>
      <c r="G245" s="35">
        <f>E245*(C245)</f>
        <v>76184.753406892225</v>
      </c>
    </row>
    <row r="246" spans="1:7" ht="13.8" thickBot="1" x14ac:dyDescent="0.3">
      <c r="A246" s="368" t="s">
        <v>53</v>
      </c>
      <c r="B246" s="369"/>
      <c r="C246" s="369"/>
      <c r="D246" s="369"/>
      <c r="E246" s="369"/>
      <c r="F246" s="369"/>
      <c r="G246" s="35">
        <f>G245+E245</f>
        <v>348955.08425863669</v>
      </c>
    </row>
    <row r="247" spans="1:7" ht="13.8" thickBot="1" x14ac:dyDescent="0.3"/>
    <row r="248" spans="1:7" ht="13.8" thickBot="1" x14ac:dyDescent="0.3">
      <c r="A248" s="288" t="s">
        <v>54</v>
      </c>
      <c r="B248" s="289"/>
      <c r="C248" s="289"/>
      <c r="D248" s="289"/>
      <c r="E248" s="289"/>
      <c r="F248" s="289"/>
      <c r="G248" s="37">
        <f>G241+G245</f>
        <v>348955.08425863669</v>
      </c>
    </row>
    <row r="249" spans="1:7" s="36" customFormat="1" x14ac:dyDescent="0.25">
      <c r="A249" s="161"/>
      <c r="B249" s="161"/>
      <c r="C249" s="161"/>
      <c r="D249" s="161"/>
      <c r="E249" s="161"/>
      <c r="F249" s="161"/>
      <c r="G249" s="162"/>
    </row>
    <row r="250" spans="1:7" s="36" customFormat="1" x14ac:dyDescent="0.25">
      <c r="A250" s="161"/>
      <c r="B250" s="161"/>
      <c r="C250" s="161"/>
      <c r="D250" s="161"/>
      <c r="E250" s="161"/>
      <c r="F250" s="161"/>
      <c r="G250" s="162"/>
    </row>
    <row r="251" spans="1:7" s="36" customFormat="1" x14ac:dyDescent="0.25">
      <c r="B251" s="161"/>
      <c r="C251" s="161"/>
      <c r="D251" s="161"/>
      <c r="E251" s="161"/>
      <c r="F251" s="161"/>
      <c r="G251" s="162"/>
    </row>
  </sheetData>
  <mergeCells count="368">
    <mergeCell ref="E235:F235"/>
    <mergeCell ref="E244:F244"/>
    <mergeCell ref="E245:F245"/>
    <mergeCell ref="C102:D102"/>
    <mergeCell ref="C103:D103"/>
    <mergeCell ref="C104:D104"/>
    <mergeCell ref="C107:D107"/>
    <mergeCell ref="E102:F102"/>
    <mergeCell ref="E103:F103"/>
    <mergeCell ref="E104:F104"/>
    <mergeCell ref="E105:F105"/>
    <mergeCell ref="E106:F106"/>
    <mergeCell ref="E107:F107"/>
    <mergeCell ref="E219:F219"/>
    <mergeCell ref="E220:F220"/>
    <mergeCell ref="E221:F221"/>
    <mergeCell ref="E222:F222"/>
    <mergeCell ref="E226:F226"/>
    <mergeCell ref="E227:F227"/>
    <mergeCell ref="E228:F228"/>
    <mergeCell ref="E195:F195"/>
    <mergeCell ref="E202:F202"/>
    <mergeCell ref="E203:F203"/>
    <mergeCell ref="E204:F204"/>
    <mergeCell ref="E205:F205"/>
    <mergeCell ref="E206:F206"/>
    <mergeCell ref="E207:F207"/>
    <mergeCell ref="E208:F208"/>
    <mergeCell ref="E229:F229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184:F184"/>
    <mergeCell ref="E185:F185"/>
    <mergeCell ref="E188:F188"/>
    <mergeCell ref="E189:F189"/>
    <mergeCell ref="E190:F190"/>
    <mergeCell ref="E191:F191"/>
    <mergeCell ref="E192:F192"/>
    <mergeCell ref="E193:F193"/>
    <mergeCell ref="E194:F194"/>
    <mergeCell ref="E138:F138"/>
    <mergeCell ref="E139:F139"/>
    <mergeCell ref="E140:F140"/>
    <mergeCell ref="E141:F141"/>
    <mergeCell ref="E149:F149"/>
    <mergeCell ref="E150:F150"/>
    <mergeCell ref="E153:F153"/>
    <mergeCell ref="E154:F154"/>
    <mergeCell ref="E157:F157"/>
    <mergeCell ref="A151:F151"/>
    <mergeCell ref="C146:D146"/>
    <mergeCell ref="C147:D147"/>
    <mergeCell ref="C148:D148"/>
    <mergeCell ref="A155:F155"/>
    <mergeCell ref="C149:D149"/>
    <mergeCell ref="C150:D150"/>
    <mergeCell ref="C153:D153"/>
    <mergeCell ref="C154:D154"/>
    <mergeCell ref="E127:F127"/>
    <mergeCell ref="E128:F128"/>
    <mergeCell ref="E131:F131"/>
    <mergeCell ref="E132:F132"/>
    <mergeCell ref="E133:F133"/>
    <mergeCell ref="E134:F134"/>
    <mergeCell ref="E135:F135"/>
    <mergeCell ref="E136:F136"/>
    <mergeCell ref="E137:F137"/>
    <mergeCell ref="C97:D97"/>
    <mergeCell ref="C98:D98"/>
    <mergeCell ref="C99:D99"/>
    <mergeCell ref="E121:F121"/>
    <mergeCell ref="E122:F122"/>
    <mergeCell ref="E123:F123"/>
    <mergeCell ref="E124:F124"/>
    <mergeCell ref="E125:F125"/>
    <mergeCell ref="E126:F126"/>
    <mergeCell ref="E115:F115"/>
    <mergeCell ref="E116:F116"/>
    <mergeCell ref="E117:F117"/>
    <mergeCell ref="E118:F118"/>
    <mergeCell ref="A108:F108"/>
    <mergeCell ref="C114:D114"/>
    <mergeCell ref="E119:F119"/>
    <mergeCell ref="E120:F120"/>
    <mergeCell ref="A100:F100"/>
    <mergeCell ref="A113:G113"/>
    <mergeCell ref="E82:F82"/>
    <mergeCell ref="E83:F83"/>
    <mergeCell ref="E84:F84"/>
    <mergeCell ref="E85:F85"/>
    <mergeCell ref="E77:F77"/>
    <mergeCell ref="E86:F86"/>
    <mergeCell ref="E87:F87"/>
    <mergeCell ref="E88:F88"/>
    <mergeCell ref="E90:F90"/>
    <mergeCell ref="E68:F68"/>
    <mergeCell ref="E70:F70"/>
    <mergeCell ref="E71:F71"/>
    <mergeCell ref="E72:F72"/>
    <mergeCell ref="E73:F73"/>
    <mergeCell ref="E78:F78"/>
    <mergeCell ref="E79:F79"/>
    <mergeCell ref="E80:F80"/>
    <mergeCell ref="E81:F81"/>
    <mergeCell ref="E75:F75"/>
    <mergeCell ref="E74:F74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40:F40"/>
    <mergeCell ref="E42:F42"/>
    <mergeCell ref="E41:F41"/>
    <mergeCell ref="E43:F43"/>
    <mergeCell ref="E44:F44"/>
    <mergeCell ref="E45:F45"/>
    <mergeCell ref="E46:F46"/>
    <mergeCell ref="E47:F47"/>
    <mergeCell ref="E48:F48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9:F29"/>
    <mergeCell ref="E30:F30"/>
    <mergeCell ref="E31:F31"/>
    <mergeCell ref="E32:F32"/>
    <mergeCell ref="E33:F33"/>
    <mergeCell ref="E34:F34"/>
    <mergeCell ref="E35:F35"/>
    <mergeCell ref="E36:F36"/>
    <mergeCell ref="E27:F27"/>
    <mergeCell ref="E37:F37"/>
    <mergeCell ref="E38:F38"/>
    <mergeCell ref="E39:F39"/>
    <mergeCell ref="C85:D85"/>
    <mergeCell ref="C57:D57"/>
    <mergeCell ref="C73:D73"/>
    <mergeCell ref="C75:D75"/>
    <mergeCell ref="E17:F17"/>
    <mergeCell ref="A248:F248"/>
    <mergeCell ref="A246:F246"/>
    <mergeCell ref="A200:G200"/>
    <mergeCell ref="C86:D86"/>
    <mergeCell ref="C87:D87"/>
    <mergeCell ref="C88:D88"/>
    <mergeCell ref="C105:D105"/>
    <mergeCell ref="C106:D106"/>
    <mergeCell ref="C91:D91"/>
    <mergeCell ref="A89:F89"/>
    <mergeCell ref="C92:D92"/>
    <mergeCell ref="C93:D93"/>
    <mergeCell ref="C94:D94"/>
    <mergeCell ref="C95:D95"/>
    <mergeCell ref="C96:D96"/>
    <mergeCell ref="E28:F28"/>
    <mergeCell ref="C64:D64"/>
    <mergeCell ref="C69:D69"/>
    <mergeCell ref="C77:D77"/>
    <mergeCell ref="C78:D78"/>
    <mergeCell ref="C80:D80"/>
    <mergeCell ref="C81:D81"/>
    <mergeCell ref="C82:D82"/>
    <mergeCell ref="C83:D83"/>
    <mergeCell ref="C84:D84"/>
    <mergeCell ref="A152:G152"/>
    <mergeCell ref="C157:D157"/>
    <mergeCell ref="C160:D160"/>
    <mergeCell ref="A162:F162"/>
    <mergeCell ref="A166:A167"/>
    <mergeCell ref="A169:A170"/>
    <mergeCell ref="A172:A173"/>
    <mergeCell ref="C187:D187"/>
    <mergeCell ref="C196:D196"/>
    <mergeCell ref="C189:D189"/>
    <mergeCell ref="C190:D190"/>
    <mergeCell ref="C191:D191"/>
    <mergeCell ref="C192:D192"/>
    <mergeCell ref="C193:D193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2:F182"/>
    <mergeCell ref="E183:F183"/>
    <mergeCell ref="C202:D202"/>
    <mergeCell ref="C233:D233"/>
    <mergeCell ref="A230:F230"/>
    <mergeCell ref="C206:D206"/>
    <mergeCell ref="C207:D207"/>
    <mergeCell ref="C209:D209"/>
    <mergeCell ref="C227:D227"/>
    <mergeCell ref="C232:D232"/>
    <mergeCell ref="C203:D203"/>
    <mergeCell ref="C204:D204"/>
    <mergeCell ref="C205:D205"/>
    <mergeCell ref="C221:D221"/>
    <mergeCell ref="C226:D226"/>
    <mergeCell ref="E232:F232"/>
    <mergeCell ref="E233:F233"/>
    <mergeCell ref="C184:D184"/>
    <mergeCell ref="C185:D185"/>
    <mergeCell ref="C176:D176"/>
    <mergeCell ref="C177:D177"/>
    <mergeCell ref="C178:D178"/>
    <mergeCell ref="C179:D179"/>
    <mergeCell ref="C182:D182"/>
    <mergeCell ref="C183:D183"/>
    <mergeCell ref="C201:D201"/>
    <mergeCell ref="C198:D198"/>
    <mergeCell ref="C199:D199"/>
    <mergeCell ref="C8:D8"/>
    <mergeCell ref="C9:D9"/>
    <mergeCell ref="C10:D10"/>
    <mergeCell ref="C11:D11"/>
    <mergeCell ref="C12:D12"/>
    <mergeCell ref="C51:D51"/>
    <mergeCell ref="C21:D21"/>
    <mergeCell ref="C19:D19"/>
    <mergeCell ref="C33:D33"/>
    <mergeCell ref="C47:D47"/>
    <mergeCell ref="C48:D48"/>
    <mergeCell ref="C50:D50"/>
    <mergeCell ref="C23:D23"/>
    <mergeCell ref="C24:D24"/>
    <mergeCell ref="C45:D45"/>
    <mergeCell ref="C25:D25"/>
    <mergeCell ref="C37:D37"/>
    <mergeCell ref="C43:D43"/>
    <mergeCell ref="C194:D194"/>
    <mergeCell ref="C195:D195"/>
    <mergeCell ref="C188:D188"/>
    <mergeCell ref="C164:D164"/>
    <mergeCell ref="C165:D165"/>
    <mergeCell ref="A1:G1"/>
    <mergeCell ref="A15:G15"/>
    <mergeCell ref="C6:D6"/>
    <mergeCell ref="C35:D35"/>
    <mergeCell ref="C36:D36"/>
    <mergeCell ref="C38:D38"/>
    <mergeCell ref="C39:D39"/>
    <mergeCell ref="C31:D31"/>
    <mergeCell ref="C32:D32"/>
    <mergeCell ref="C26:D26"/>
    <mergeCell ref="C27:D27"/>
    <mergeCell ref="C22:D22"/>
    <mergeCell ref="C34:D34"/>
    <mergeCell ref="C17:D17"/>
    <mergeCell ref="C18:D18"/>
    <mergeCell ref="C20:D20"/>
    <mergeCell ref="C79:D79"/>
    <mergeCell ref="C112:D112"/>
    <mergeCell ref="C7:D7"/>
    <mergeCell ref="C130:D130"/>
    <mergeCell ref="C29:D29"/>
    <mergeCell ref="C30:D30"/>
    <mergeCell ref="C60:D60"/>
    <mergeCell ref="C62:D62"/>
    <mergeCell ref="C63:D63"/>
    <mergeCell ref="C40:D40"/>
    <mergeCell ref="C46:D46"/>
    <mergeCell ref="C52:D52"/>
    <mergeCell ref="C41:D41"/>
    <mergeCell ref="C42:D42"/>
    <mergeCell ref="C44:D44"/>
    <mergeCell ref="C55:D55"/>
    <mergeCell ref="C53:D53"/>
    <mergeCell ref="C56:D56"/>
    <mergeCell ref="C54:D54"/>
    <mergeCell ref="C71:D71"/>
    <mergeCell ref="C70:D70"/>
    <mergeCell ref="C72:D72"/>
    <mergeCell ref="C68:D68"/>
    <mergeCell ref="C67:D67"/>
    <mergeCell ref="C65:D65"/>
    <mergeCell ref="C66:D66"/>
    <mergeCell ref="C59:D59"/>
    <mergeCell ref="C158:D158"/>
    <mergeCell ref="C159:D159"/>
    <mergeCell ref="A175:A176"/>
    <mergeCell ref="A178:A179"/>
    <mergeCell ref="C166:D166"/>
    <mergeCell ref="C170:D170"/>
    <mergeCell ref="C167:D167"/>
    <mergeCell ref="C168:D168"/>
    <mergeCell ref="C169:D169"/>
    <mergeCell ref="C171:D171"/>
    <mergeCell ref="C163:D163"/>
    <mergeCell ref="C161:D161"/>
    <mergeCell ref="C245:D245"/>
    <mergeCell ref="A241:F241"/>
    <mergeCell ref="C220:D220"/>
    <mergeCell ref="C210:D210"/>
    <mergeCell ref="C211:D211"/>
    <mergeCell ref="C212:D212"/>
    <mergeCell ref="C213:D213"/>
    <mergeCell ref="C214:D214"/>
    <mergeCell ref="C215:D215"/>
    <mergeCell ref="C219:D219"/>
    <mergeCell ref="C228:D228"/>
    <mergeCell ref="A236:F236"/>
    <mergeCell ref="A238:F238"/>
    <mergeCell ref="C235:D235"/>
    <mergeCell ref="C234:D234"/>
    <mergeCell ref="C224:D224"/>
    <mergeCell ref="C225:D225"/>
    <mergeCell ref="C231:D231"/>
    <mergeCell ref="C222:D222"/>
    <mergeCell ref="C216:D216"/>
    <mergeCell ref="C217:D217"/>
    <mergeCell ref="C218:D218"/>
    <mergeCell ref="A223:F223"/>
    <mergeCell ref="E234:F234"/>
    <mergeCell ref="C181:D181"/>
    <mergeCell ref="E169:F169"/>
    <mergeCell ref="E170:F170"/>
    <mergeCell ref="E171:F171"/>
    <mergeCell ref="C229:D229"/>
    <mergeCell ref="C208:D208"/>
    <mergeCell ref="C49:D49"/>
    <mergeCell ref="C61:D61"/>
    <mergeCell ref="C244:D244"/>
    <mergeCell ref="C143:D143"/>
    <mergeCell ref="C145:D145"/>
    <mergeCell ref="E159:F159"/>
    <mergeCell ref="E160:F160"/>
    <mergeCell ref="E161:F161"/>
    <mergeCell ref="E158:F158"/>
    <mergeCell ref="E164:F164"/>
    <mergeCell ref="E165:F165"/>
    <mergeCell ref="E166:F166"/>
    <mergeCell ref="E167:F167"/>
    <mergeCell ref="E168:F168"/>
    <mergeCell ref="C172:D172"/>
    <mergeCell ref="C173:D173"/>
    <mergeCell ref="C174:D174"/>
    <mergeCell ref="C175:D175"/>
  </mergeCells>
  <pageMargins left="0.511811024" right="0.511811024" top="0.78740157499999996" bottom="0.78740157499999996" header="0.31496062000000002" footer="0.31496062000000002"/>
  <pageSetup paperSize="9" orientation="landscape" verticalDpi="300" r:id="rId1"/>
  <drawing r:id="rId2"/>
  <legacyDrawing r:id="rId3"/>
  <controls>
    <mc:AlternateContent xmlns:mc="http://schemas.openxmlformats.org/markup-compatibility/2006">
      <mc:Choice Requires="x14">
        <control shapeId="1050" r:id="rId4" name="Control 26">
          <controlPr defaultSize="0" r:id="rId5">
            <anchor moveWithCells="1">
              <from>
                <xdr:col>7</xdr:col>
                <xdr:colOff>38100</xdr:colOff>
                <xdr:row>380</xdr:row>
                <xdr:rowOff>0</xdr:rowOff>
              </from>
              <to>
                <xdr:col>10</xdr:col>
                <xdr:colOff>38100</xdr:colOff>
                <xdr:row>381</xdr:row>
                <xdr:rowOff>99060</xdr:rowOff>
              </to>
            </anchor>
          </controlPr>
        </control>
      </mc:Choice>
      <mc:Fallback>
        <control shapeId="1050" r:id="rId4" name="Control 26"/>
      </mc:Fallback>
    </mc:AlternateContent>
    <mc:AlternateContent xmlns:mc="http://schemas.openxmlformats.org/markup-compatibility/2006">
      <mc:Choice Requires="x14">
        <control shapeId="1049" r:id="rId6" name="Control 25">
          <controlPr defaultSize="0" r:id="rId7">
            <anchor moveWithCells="1">
              <from>
                <xdr:col>7</xdr:col>
                <xdr:colOff>38100</xdr:colOff>
                <xdr:row>378</xdr:row>
                <xdr:rowOff>160020</xdr:rowOff>
              </from>
              <to>
                <xdr:col>8</xdr:col>
                <xdr:colOff>30480</xdr:colOff>
                <xdr:row>380</xdr:row>
                <xdr:rowOff>91440</xdr:rowOff>
              </to>
            </anchor>
          </controlPr>
        </control>
      </mc:Choice>
      <mc:Fallback>
        <control shapeId="1049" r:id="rId6" name="Control 25"/>
      </mc:Fallback>
    </mc:AlternateContent>
    <mc:AlternateContent xmlns:mc="http://schemas.openxmlformats.org/markup-compatibility/2006">
      <mc:Choice Requires="x14">
        <control shapeId="1048" r:id="rId8" name="Control 24">
          <controlPr defaultSize="0" r:id="rId9">
            <anchor moveWithCells="1">
              <from>
                <xdr:col>7</xdr:col>
                <xdr:colOff>38100</xdr:colOff>
                <xdr:row>374</xdr:row>
                <xdr:rowOff>83820</xdr:rowOff>
              </from>
              <to>
                <xdr:col>10</xdr:col>
                <xdr:colOff>38100</xdr:colOff>
                <xdr:row>376</xdr:row>
                <xdr:rowOff>15240</xdr:rowOff>
              </to>
            </anchor>
          </controlPr>
        </control>
      </mc:Choice>
      <mc:Fallback>
        <control shapeId="1048" r:id="rId8" name="Control 24"/>
      </mc:Fallback>
    </mc:AlternateContent>
    <mc:AlternateContent xmlns:mc="http://schemas.openxmlformats.org/markup-compatibility/2006">
      <mc:Choice Requires="x14">
        <control shapeId="1047" r:id="rId10" name="Control 23">
          <controlPr defaultSize="0" r:id="rId11">
            <anchor moveWithCells="1">
              <from>
                <xdr:col>7</xdr:col>
                <xdr:colOff>38100</xdr:colOff>
                <xdr:row>373</xdr:row>
                <xdr:rowOff>68580</xdr:rowOff>
              </from>
              <to>
                <xdr:col>8</xdr:col>
                <xdr:colOff>30480</xdr:colOff>
                <xdr:row>375</xdr:row>
                <xdr:rowOff>7620</xdr:rowOff>
              </to>
            </anchor>
          </controlPr>
        </control>
      </mc:Choice>
      <mc:Fallback>
        <control shapeId="1047" r:id="rId10" name="Control 23"/>
      </mc:Fallback>
    </mc:AlternateContent>
    <mc:AlternateContent xmlns:mc="http://schemas.openxmlformats.org/markup-compatibility/2006">
      <mc:Choice Requires="x14">
        <control shapeId="1046" r:id="rId12" name="Control 22">
          <controlPr defaultSize="0" r:id="rId13">
            <anchor moveWithCells="1">
              <from>
                <xdr:col>7</xdr:col>
                <xdr:colOff>38100</xdr:colOff>
                <xdr:row>372</xdr:row>
                <xdr:rowOff>53340</xdr:rowOff>
              </from>
              <to>
                <xdr:col>9</xdr:col>
                <xdr:colOff>777240</xdr:colOff>
                <xdr:row>373</xdr:row>
                <xdr:rowOff>152400</xdr:rowOff>
              </to>
            </anchor>
          </controlPr>
        </control>
      </mc:Choice>
      <mc:Fallback>
        <control shapeId="1046" r:id="rId12" name="Control 2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workbookViewId="0">
      <selection activeCell="C13" sqref="C13"/>
    </sheetView>
  </sheetViews>
  <sheetFormatPr defaultRowHeight="14.4" x14ac:dyDescent="0.3"/>
  <cols>
    <col min="1" max="1" width="37" bestFit="1" customWidth="1"/>
    <col min="2" max="2" width="4.6640625" bestFit="1" customWidth="1"/>
    <col min="3" max="3" width="7.33203125" bestFit="1" customWidth="1"/>
    <col min="4" max="4" width="8.5546875" bestFit="1" customWidth="1"/>
    <col min="5" max="5" width="7.33203125" bestFit="1" customWidth="1"/>
    <col min="6" max="6" width="8.5546875" bestFit="1" customWidth="1"/>
  </cols>
  <sheetData>
    <row r="1" spans="1:6" ht="15" thickBot="1" x14ac:dyDescent="0.35">
      <c r="A1" s="417" t="s">
        <v>192</v>
      </c>
      <c r="B1" s="418"/>
      <c r="C1" s="418"/>
      <c r="D1" s="418"/>
      <c r="E1" s="418"/>
      <c r="F1" s="419"/>
    </row>
    <row r="2" spans="1:6" ht="15" thickBot="1" x14ac:dyDescent="0.35">
      <c r="A2" s="175"/>
      <c r="B2" s="176"/>
      <c r="C2" s="176"/>
      <c r="D2" s="176"/>
      <c r="E2" s="176"/>
      <c r="F2" s="177"/>
    </row>
    <row r="3" spans="1:6" x14ac:dyDescent="0.3">
      <c r="A3" s="178"/>
      <c r="B3" s="179"/>
      <c r="C3" s="179"/>
      <c r="D3" s="420" t="s">
        <v>193</v>
      </c>
      <c r="E3" s="421"/>
      <c r="F3" s="422"/>
    </row>
    <row r="4" spans="1:6" ht="15" thickBot="1" x14ac:dyDescent="0.35">
      <c r="A4" s="180"/>
      <c r="B4" s="181"/>
      <c r="C4" s="181"/>
      <c r="D4" s="182" t="s">
        <v>194</v>
      </c>
      <c r="E4" s="183" t="s">
        <v>195</v>
      </c>
      <c r="F4" s="184" t="s">
        <v>196</v>
      </c>
    </row>
    <row r="5" spans="1:6" x14ac:dyDescent="0.3">
      <c r="A5" s="185" t="s">
        <v>197</v>
      </c>
      <c r="B5" s="126" t="s">
        <v>198</v>
      </c>
      <c r="C5" s="186">
        <f>E5</f>
        <v>5.0799999999999998E-2</v>
      </c>
      <c r="D5" s="187">
        <v>2.9700000000000001E-2</v>
      </c>
      <c r="E5" s="188">
        <v>5.0799999999999998E-2</v>
      </c>
      <c r="F5" s="189">
        <v>6.2700000000000006E-2</v>
      </c>
    </row>
    <row r="6" spans="1:6" x14ac:dyDescent="0.3">
      <c r="A6" s="128" t="s">
        <v>199</v>
      </c>
      <c r="B6" s="12" t="s">
        <v>200</v>
      </c>
      <c r="C6" s="190">
        <f>E6</f>
        <v>1.3299999999999999E-2</v>
      </c>
      <c r="D6" s="187">
        <f>0.3%+0.56%</f>
        <v>8.6E-3</v>
      </c>
      <c r="E6" s="188">
        <f>0.48%+0.85%</f>
        <v>1.3299999999999999E-2</v>
      </c>
      <c r="F6" s="189">
        <f>0.82%+0.89%</f>
        <v>1.7099999999999997E-2</v>
      </c>
    </row>
    <row r="7" spans="1:6" x14ac:dyDescent="0.3">
      <c r="A7" s="128" t="s">
        <v>201</v>
      </c>
      <c r="B7" s="12" t="s">
        <v>202</v>
      </c>
      <c r="C7" s="190">
        <f>E7</f>
        <v>0.1085</v>
      </c>
      <c r="D7" s="187">
        <v>7.7799999999999994E-2</v>
      </c>
      <c r="E7" s="188">
        <v>0.1085</v>
      </c>
      <c r="F7" s="189">
        <v>0.13550000000000001</v>
      </c>
    </row>
    <row r="8" spans="1:6" x14ac:dyDescent="0.3">
      <c r="A8" s="128" t="s">
        <v>203</v>
      </c>
      <c r="B8" s="12" t="s">
        <v>204</v>
      </c>
      <c r="C8" s="191">
        <f>(1+E8)^(E9/252)-1</f>
        <v>1.5881505797259443E-3</v>
      </c>
      <c r="D8" s="187" t="s">
        <v>205</v>
      </c>
      <c r="E8" s="192">
        <v>4.0800000000000003E-2</v>
      </c>
      <c r="F8" s="193"/>
    </row>
    <row r="9" spans="1:6" x14ac:dyDescent="0.3">
      <c r="A9" s="128" t="s">
        <v>206</v>
      </c>
      <c r="B9" s="423" t="s">
        <v>207</v>
      </c>
      <c r="C9" s="190">
        <v>0.04</v>
      </c>
      <c r="D9" s="194" t="s">
        <v>208</v>
      </c>
      <c r="E9" s="195">
        <v>10</v>
      </c>
      <c r="F9" s="196"/>
    </row>
    <row r="10" spans="1:6" ht="15" thickBot="1" x14ac:dyDescent="0.35">
      <c r="A10" s="129" t="s">
        <v>209</v>
      </c>
      <c r="B10" s="424"/>
      <c r="C10" s="197">
        <v>3.6499999999999998E-2</v>
      </c>
      <c r="D10" s="34"/>
      <c r="E10" s="198"/>
      <c r="F10" s="196"/>
    </row>
    <row r="11" spans="1:6" x14ac:dyDescent="0.3">
      <c r="A11" s="199" t="s">
        <v>210</v>
      </c>
      <c r="B11" s="200"/>
      <c r="C11" s="201"/>
      <c r="D11" s="34"/>
      <c r="E11" s="198"/>
      <c r="F11" s="196"/>
    </row>
    <row r="12" spans="1:6" ht="15" thickBot="1" x14ac:dyDescent="0.35">
      <c r="A12" s="202" t="s">
        <v>211</v>
      </c>
      <c r="B12" s="203"/>
      <c r="C12" s="204"/>
      <c r="D12" s="34"/>
      <c r="E12" s="198"/>
      <c r="F12" s="196"/>
    </row>
    <row r="13" spans="1:6" ht="15" thickBot="1" x14ac:dyDescent="0.35">
      <c r="A13" s="205" t="s">
        <v>212</v>
      </c>
      <c r="B13" s="206"/>
      <c r="C13" s="207">
        <f>ROUND((((1+C5+C6)*(1+C7)*(1+C8))/(1-(C9+C10))-1),4)</f>
        <v>0.27929999999999999</v>
      </c>
      <c r="D13" s="208">
        <v>0.21429999999999999</v>
      </c>
      <c r="E13" s="209">
        <v>0.2717</v>
      </c>
      <c r="F13" s="210">
        <v>0.3362</v>
      </c>
    </row>
  </sheetData>
  <mergeCells count="3">
    <mergeCell ref="A1:F1"/>
    <mergeCell ref="D3:F3"/>
    <mergeCell ref="B9:B10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zoomScale="115" zoomScaleNormal="115" workbookViewId="0">
      <selection activeCell="C13" sqref="C13:F13"/>
    </sheetView>
  </sheetViews>
  <sheetFormatPr defaultRowHeight="14.4" x14ac:dyDescent="0.3"/>
  <cols>
    <col min="1" max="1" width="45.44140625" customWidth="1"/>
    <col min="2" max="5" width="20.33203125" customWidth="1"/>
    <col min="6" max="6" width="47.33203125" customWidth="1"/>
    <col min="8" max="8" width="8.88671875" customWidth="1"/>
    <col min="10" max="10" width="9.6640625" bestFit="1" customWidth="1"/>
  </cols>
  <sheetData>
    <row r="1" spans="1:12" x14ac:dyDescent="0.3">
      <c r="A1" s="337" t="s">
        <v>125</v>
      </c>
      <c r="B1" s="337"/>
      <c r="C1" s="337"/>
      <c r="D1" s="337"/>
      <c r="E1" s="337"/>
    </row>
    <row r="3" spans="1:12" s="81" customFormat="1" ht="15" thickBot="1" x14ac:dyDescent="0.35">
      <c r="A3" s="79"/>
      <c r="B3" s="79"/>
      <c r="C3" s="79"/>
      <c r="D3" s="79"/>
      <c r="E3" s="79"/>
      <c r="F3" s="80"/>
    </row>
    <row r="4" spans="1:12" s="81" customFormat="1" ht="16.2" thickBot="1" x14ac:dyDescent="0.35">
      <c r="A4" s="96" t="s">
        <v>131</v>
      </c>
      <c r="B4" s="97" t="s">
        <v>132</v>
      </c>
      <c r="C4" s="434" t="s">
        <v>133</v>
      </c>
      <c r="D4" s="435"/>
      <c r="E4" s="435"/>
      <c r="F4" s="436"/>
      <c r="J4" s="239">
        <v>1237.1500000000001</v>
      </c>
      <c r="L4" s="81">
        <f>J4/2</f>
        <v>618.57500000000005</v>
      </c>
    </row>
    <row r="5" spans="1:12" x14ac:dyDescent="0.3">
      <c r="A5" s="85" t="s">
        <v>175</v>
      </c>
      <c r="B5" s="86">
        <v>1431.04</v>
      </c>
      <c r="C5" s="428" t="s">
        <v>223</v>
      </c>
      <c r="D5" s="429"/>
      <c r="E5" s="429"/>
      <c r="F5" s="430"/>
      <c r="G5" s="1"/>
      <c r="L5" s="237">
        <f>J4+L4</f>
        <v>1855.7250000000001</v>
      </c>
    </row>
    <row r="6" spans="1:12" x14ac:dyDescent="0.3">
      <c r="A6" s="59" t="s">
        <v>176</v>
      </c>
      <c r="B6" s="86">
        <v>1431.04</v>
      </c>
      <c r="C6" s="428" t="s">
        <v>223</v>
      </c>
      <c r="D6" s="429"/>
      <c r="E6" s="429"/>
      <c r="F6" s="430"/>
      <c r="G6" s="1"/>
    </row>
    <row r="7" spans="1:12" ht="15" customHeight="1" x14ac:dyDescent="0.3">
      <c r="A7" s="59" t="s">
        <v>177</v>
      </c>
      <c r="B7" s="86">
        <v>1458.44</v>
      </c>
      <c r="C7" s="428" t="s">
        <v>223</v>
      </c>
      <c r="D7" s="429"/>
      <c r="E7" s="429"/>
      <c r="F7" s="430"/>
      <c r="G7" s="1"/>
    </row>
    <row r="8" spans="1:12" ht="15" customHeight="1" x14ac:dyDescent="0.3">
      <c r="A8" s="59" t="s">
        <v>222</v>
      </c>
      <c r="B8" s="86">
        <v>1458.44</v>
      </c>
      <c r="C8" s="428" t="s">
        <v>223</v>
      </c>
      <c r="D8" s="429"/>
      <c r="E8" s="429"/>
      <c r="F8" s="430"/>
      <c r="G8" s="1"/>
    </row>
    <row r="9" spans="1:12" x14ac:dyDescent="0.3">
      <c r="A9" s="59" t="s">
        <v>178</v>
      </c>
      <c r="B9" s="86">
        <v>1591.49</v>
      </c>
      <c r="C9" s="431" t="s">
        <v>247</v>
      </c>
      <c r="D9" s="432"/>
      <c r="E9" s="432"/>
      <c r="F9" s="433"/>
      <c r="G9" s="1"/>
    </row>
    <row r="10" spans="1:12" x14ac:dyDescent="0.3">
      <c r="A10" s="59" t="s">
        <v>124</v>
      </c>
      <c r="B10" s="86">
        <v>2555.69</v>
      </c>
      <c r="C10" s="431" t="s">
        <v>247</v>
      </c>
      <c r="D10" s="432"/>
      <c r="E10" s="432"/>
      <c r="F10" s="433"/>
      <c r="G10" s="36"/>
    </row>
    <row r="11" spans="1:12" x14ac:dyDescent="0.3">
      <c r="A11" s="59" t="s">
        <v>180</v>
      </c>
      <c r="B11" s="86">
        <v>1431.04</v>
      </c>
      <c r="C11" s="428" t="s">
        <v>223</v>
      </c>
      <c r="D11" s="429"/>
      <c r="E11" s="429"/>
      <c r="F11" s="430"/>
      <c r="G11" s="36"/>
    </row>
    <row r="12" spans="1:12" x14ac:dyDescent="0.3">
      <c r="A12" s="59" t="s">
        <v>181</v>
      </c>
      <c r="B12" s="83">
        <v>1753</v>
      </c>
      <c r="C12" s="428" t="s">
        <v>134</v>
      </c>
      <c r="D12" s="429"/>
      <c r="E12" s="429"/>
      <c r="F12" s="430"/>
      <c r="G12" s="1"/>
    </row>
    <row r="13" spans="1:12" x14ac:dyDescent="0.3">
      <c r="A13" s="59" t="s">
        <v>182</v>
      </c>
      <c r="B13" s="83">
        <v>5162.22</v>
      </c>
      <c r="C13" s="431" t="s">
        <v>247</v>
      </c>
      <c r="D13" s="432"/>
      <c r="E13" s="432"/>
      <c r="F13" s="433"/>
      <c r="G13" s="1"/>
    </row>
    <row r="14" spans="1:12" s="81" customFormat="1" ht="15" thickBot="1" x14ac:dyDescent="0.35">
      <c r="A14" s="238" t="s">
        <v>219</v>
      </c>
      <c r="B14" s="262">
        <v>3275.56</v>
      </c>
      <c r="C14" s="425" t="s">
        <v>224</v>
      </c>
      <c r="D14" s="426"/>
      <c r="E14" s="426"/>
      <c r="F14" s="427"/>
    </row>
    <row r="15" spans="1:12" s="81" customFormat="1" ht="15" thickBot="1" x14ac:dyDescent="0.35">
      <c r="A15" s="79"/>
      <c r="B15" s="79"/>
      <c r="C15" s="79"/>
      <c r="D15" s="79"/>
      <c r="E15" s="79"/>
      <c r="F15" s="80"/>
    </row>
    <row r="16" spans="1:12" s="81" customFormat="1" ht="15" thickBot="1" x14ac:dyDescent="0.35">
      <c r="A16" s="252" t="s">
        <v>171</v>
      </c>
      <c r="B16" s="253" t="s">
        <v>172</v>
      </c>
      <c r="C16" s="79"/>
      <c r="D16" s="79"/>
      <c r="E16" s="79"/>
      <c r="F16" s="80"/>
    </row>
    <row r="17" spans="1:6" s="81" customFormat="1" x14ac:dyDescent="0.3">
      <c r="A17" s="185" t="s">
        <v>170</v>
      </c>
      <c r="B17" s="106">
        <v>4.5999999999999996</v>
      </c>
      <c r="D17" s="263"/>
      <c r="E17" s="79"/>
      <c r="F17" s="80"/>
    </row>
    <row r="18" spans="1:6" s="81" customFormat="1" x14ac:dyDescent="0.3">
      <c r="A18" s="59" t="s">
        <v>175</v>
      </c>
      <c r="B18" s="91">
        <v>22</v>
      </c>
      <c r="D18" s="244"/>
      <c r="E18" s="82"/>
      <c r="F18" s="80"/>
    </row>
    <row r="19" spans="1:6" s="81" customFormat="1" x14ac:dyDescent="0.3">
      <c r="A19" s="59" t="s">
        <v>176</v>
      </c>
      <c r="B19" s="91">
        <v>22</v>
      </c>
      <c r="D19" s="244"/>
      <c r="E19" s="82"/>
      <c r="F19" s="80"/>
    </row>
    <row r="20" spans="1:6" s="81" customFormat="1" x14ac:dyDescent="0.3">
      <c r="A20" s="59" t="s">
        <v>177</v>
      </c>
      <c r="B20" s="91">
        <v>22</v>
      </c>
      <c r="D20" s="244"/>
      <c r="E20" s="82"/>
      <c r="F20" s="80"/>
    </row>
    <row r="21" spans="1:6" s="81" customFormat="1" x14ac:dyDescent="0.3">
      <c r="A21" s="59" t="s">
        <v>222</v>
      </c>
      <c r="B21" s="91">
        <v>22</v>
      </c>
      <c r="D21" s="244"/>
      <c r="E21" s="82"/>
      <c r="F21" s="80"/>
    </row>
    <row r="22" spans="1:6" s="81" customFormat="1" x14ac:dyDescent="0.3">
      <c r="A22" s="59" t="s">
        <v>178</v>
      </c>
      <c r="B22" s="91">
        <v>22</v>
      </c>
      <c r="D22" s="244"/>
      <c r="E22" s="82"/>
      <c r="F22" s="80"/>
    </row>
    <row r="23" spans="1:6" s="81" customFormat="1" x14ac:dyDescent="0.3">
      <c r="A23" s="59" t="s">
        <v>124</v>
      </c>
      <c r="B23" s="91">
        <v>22</v>
      </c>
      <c r="D23" s="244"/>
      <c r="E23" s="82"/>
      <c r="F23" s="80"/>
    </row>
    <row r="24" spans="1:6" s="81" customFormat="1" x14ac:dyDescent="0.3">
      <c r="A24" s="59" t="s">
        <v>180</v>
      </c>
      <c r="B24" s="91">
        <v>22</v>
      </c>
      <c r="D24" s="244"/>
      <c r="E24" s="82"/>
      <c r="F24" s="80"/>
    </row>
    <row r="25" spans="1:6" s="81" customFormat="1" x14ac:dyDescent="0.3">
      <c r="A25" s="59" t="s">
        <v>181</v>
      </c>
      <c r="B25" s="91">
        <v>21.1</v>
      </c>
      <c r="D25" s="82"/>
      <c r="E25" s="82"/>
      <c r="F25" s="80"/>
    </row>
    <row r="26" spans="1:6" s="81" customFormat="1" x14ac:dyDescent="0.3">
      <c r="A26" s="59" t="s">
        <v>182</v>
      </c>
      <c r="B26" s="91">
        <v>21</v>
      </c>
      <c r="D26" s="82"/>
      <c r="E26" s="79"/>
      <c r="F26" s="80"/>
    </row>
    <row r="27" spans="1:6" s="81" customFormat="1" x14ac:dyDescent="0.3">
      <c r="A27" s="59" t="s">
        <v>219</v>
      </c>
      <c r="B27" s="91">
        <v>27</v>
      </c>
      <c r="D27" s="82"/>
      <c r="E27" s="79"/>
      <c r="F27" s="80"/>
    </row>
    <row r="28" spans="1:6" s="81" customFormat="1" ht="15" thickBot="1" x14ac:dyDescent="0.35">
      <c r="A28" s="238" t="s">
        <v>245</v>
      </c>
      <c r="B28" s="92">
        <v>18.5</v>
      </c>
      <c r="D28" s="82"/>
      <c r="E28" s="79"/>
      <c r="F28" s="80"/>
    </row>
    <row r="29" spans="1:6" s="81" customFormat="1" x14ac:dyDescent="0.3">
      <c r="A29" s="79"/>
      <c r="B29" s="79"/>
      <c r="D29" s="82"/>
      <c r="E29" s="79"/>
      <c r="F29" s="80"/>
    </row>
    <row r="30" spans="1:6" ht="15" thickBot="1" x14ac:dyDescent="0.35">
      <c r="A30" s="1"/>
      <c r="B30" s="1"/>
      <c r="C30" s="78"/>
      <c r="D30" s="78"/>
      <c r="E30" s="78"/>
      <c r="F30" s="78"/>
    </row>
    <row r="31" spans="1:6" ht="15" thickBot="1" x14ac:dyDescent="0.35">
      <c r="A31" s="93" t="s">
        <v>126</v>
      </c>
      <c r="B31" s="94" t="s">
        <v>12</v>
      </c>
      <c r="C31" s="94" t="s">
        <v>127</v>
      </c>
      <c r="D31" s="94" t="s">
        <v>128</v>
      </c>
      <c r="E31" s="94" t="s">
        <v>129</v>
      </c>
      <c r="F31" s="95" t="s">
        <v>130</v>
      </c>
    </row>
    <row r="32" spans="1:6" x14ac:dyDescent="0.3">
      <c r="A32" s="9" t="s">
        <v>107</v>
      </c>
      <c r="B32" s="98" t="s">
        <v>19</v>
      </c>
      <c r="C32" s="87">
        <v>19.97</v>
      </c>
      <c r="D32" s="87">
        <v>8.84</v>
      </c>
      <c r="E32" s="87">
        <v>29.9</v>
      </c>
      <c r="F32" s="88">
        <f>AVERAGE(C32:E32)</f>
        <v>19.569999999999997</v>
      </c>
    </row>
    <row r="33" spans="1:6" x14ac:dyDescent="0.3">
      <c r="A33" s="65" t="s">
        <v>26</v>
      </c>
      <c r="B33" s="99" t="s">
        <v>19</v>
      </c>
      <c r="C33" s="89">
        <v>7.16</v>
      </c>
      <c r="D33" s="89">
        <v>17.5</v>
      </c>
      <c r="E33" s="89">
        <v>14.8</v>
      </c>
      <c r="F33" s="91">
        <f t="shared" ref="F33:F39" si="0">AVERAGE(C33:E33)</f>
        <v>13.153333333333334</v>
      </c>
    </row>
    <row r="34" spans="1:6" x14ac:dyDescent="0.3">
      <c r="A34" s="66" t="s">
        <v>27</v>
      </c>
      <c r="B34" s="99" t="s">
        <v>19</v>
      </c>
      <c r="C34" s="89">
        <v>67.900000000000006</v>
      </c>
      <c r="D34" s="89">
        <v>62.1</v>
      </c>
      <c r="E34" s="89">
        <v>107.99</v>
      </c>
      <c r="F34" s="91">
        <f>AVERAGE(C34:E34)</f>
        <v>79.33</v>
      </c>
    </row>
    <row r="35" spans="1:6" x14ac:dyDescent="0.3">
      <c r="A35" s="66" t="s">
        <v>55</v>
      </c>
      <c r="B35" s="99" t="s">
        <v>19</v>
      </c>
      <c r="C35" s="89">
        <v>39.619999999999997</v>
      </c>
      <c r="D35" s="89">
        <v>48.59</v>
      </c>
      <c r="E35" s="89">
        <v>49.9</v>
      </c>
      <c r="F35" s="91">
        <f>AVERAGE(C35:E35)</f>
        <v>46.036666666666669</v>
      </c>
    </row>
    <row r="36" spans="1:6" x14ac:dyDescent="0.3">
      <c r="A36" s="66" t="s">
        <v>28</v>
      </c>
      <c r="B36" s="99" t="s">
        <v>19</v>
      </c>
      <c r="C36" s="89">
        <v>13.52</v>
      </c>
      <c r="D36" s="89">
        <v>16.899999999999999</v>
      </c>
      <c r="E36" s="89">
        <v>14.5</v>
      </c>
      <c r="F36" s="91">
        <f t="shared" si="0"/>
        <v>14.973333333333334</v>
      </c>
    </row>
    <row r="37" spans="1:6" x14ac:dyDescent="0.3">
      <c r="A37" s="67" t="s">
        <v>29</v>
      </c>
      <c r="B37" s="99" t="s">
        <v>19</v>
      </c>
      <c r="C37" s="89">
        <v>16.989999999999998</v>
      </c>
      <c r="D37" s="89">
        <v>20.9</v>
      </c>
      <c r="E37" s="89">
        <v>19.899999999999999</v>
      </c>
      <c r="F37" s="91">
        <f t="shared" si="0"/>
        <v>19.263333333333332</v>
      </c>
    </row>
    <row r="38" spans="1:6" x14ac:dyDescent="0.3">
      <c r="A38" s="67" t="s">
        <v>30</v>
      </c>
      <c r="B38" s="99" t="s">
        <v>19</v>
      </c>
      <c r="C38" s="89">
        <v>18.27</v>
      </c>
      <c r="D38" s="89">
        <v>35</v>
      </c>
      <c r="E38" s="89">
        <v>22.9</v>
      </c>
      <c r="F38" s="91">
        <f t="shared" si="0"/>
        <v>25.389999999999997</v>
      </c>
    </row>
    <row r="39" spans="1:6" x14ac:dyDescent="0.3">
      <c r="A39" s="67" t="s">
        <v>31</v>
      </c>
      <c r="B39" s="99" t="s">
        <v>19</v>
      </c>
      <c r="C39" s="89">
        <v>300</v>
      </c>
      <c r="D39" s="89">
        <v>189.05</v>
      </c>
      <c r="E39" s="89">
        <v>119.9</v>
      </c>
      <c r="F39" s="91">
        <f t="shared" si="0"/>
        <v>202.98333333333335</v>
      </c>
    </row>
    <row r="40" spans="1:6" x14ac:dyDescent="0.3">
      <c r="A40" s="68" t="s">
        <v>56</v>
      </c>
      <c r="B40" s="99" t="s">
        <v>19</v>
      </c>
      <c r="C40" s="89">
        <v>9.9</v>
      </c>
      <c r="D40" s="89">
        <v>15.65</v>
      </c>
      <c r="E40" s="89">
        <v>3.79</v>
      </c>
      <c r="F40" s="91">
        <f>AVERAGE(C40:E40)</f>
        <v>9.7799999999999994</v>
      </c>
    </row>
    <row r="41" spans="1:6" x14ac:dyDescent="0.3">
      <c r="A41" s="67" t="s">
        <v>57</v>
      </c>
      <c r="B41" s="99" t="s">
        <v>19</v>
      </c>
      <c r="C41" s="89">
        <v>9.5</v>
      </c>
      <c r="D41" s="89">
        <v>5.7</v>
      </c>
      <c r="E41" s="89">
        <v>15.99</v>
      </c>
      <c r="F41" s="91">
        <f>AVERAGE(C41:E41)</f>
        <v>10.396666666666667</v>
      </c>
    </row>
    <row r="42" spans="1:6" x14ac:dyDescent="0.3">
      <c r="A42" s="67" t="s">
        <v>32</v>
      </c>
      <c r="B42" s="99" t="s">
        <v>19</v>
      </c>
      <c r="C42" s="89">
        <v>29.99</v>
      </c>
      <c r="D42" s="89">
        <v>36.19</v>
      </c>
      <c r="E42" s="89">
        <v>20.49</v>
      </c>
      <c r="F42" s="91">
        <f>AVERAGE(C42:E42)</f>
        <v>28.889999999999997</v>
      </c>
    </row>
    <row r="43" spans="1:6" x14ac:dyDescent="0.3">
      <c r="A43" s="67" t="s">
        <v>106</v>
      </c>
      <c r="B43" s="99" t="s">
        <v>19</v>
      </c>
      <c r="C43" s="89">
        <v>11.9</v>
      </c>
      <c r="D43" s="89">
        <v>14.24</v>
      </c>
      <c r="E43" s="89">
        <v>17.649999999999999</v>
      </c>
      <c r="F43" s="89">
        <f>AVERAGE(C43:E43)</f>
        <v>14.596666666666666</v>
      </c>
    </row>
    <row r="44" spans="1:6" ht="15" thickBot="1" x14ac:dyDescent="0.35">
      <c r="A44" s="72" t="s">
        <v>58</v>
      </c>
      <c r="B44" s="100" t="s">
        <v>19</v>
      </c>
      <c r="C44" s="90">
        <v>4.29</v>
      </c>
      <c r="D44" s="90">
        <v>3.76</v>
      </c>
      <c r="E44" s="90">
        <v>7.9</v>
      </c>
      <c r="F44" s="92">
        <f>AVERAGE(C44:E44)</f>
        <v>5.3166666666666673</v>
      </c>
    </row>
    <row r="46" spans="1:6" ht="15" thickBot="1" x14ac:dyDescent="0.35"/>
    <row r="47" spans="1:6" ht="15" thickBot="1" x14ac:dyDescent="0.35">
      <c r="A47" s="101" t="s">
        <v>135</v>
      </c>
      <c r="B47" s="94" t="s">
        <v>12</v>
      </c>
      <c r="C47" s="94" t="s">
        <v>127</v>
      </c>
      <c r="D47" s="94" t="s">
        <v>128</v>
      </c>
      <c r="E47" s="94" t="s">
        <v>129</v>
      </c>
      <c r="F47" s="95" t="s">
        <v>130</v>
      </c>
    </row>
    <row r="48" spans="1:6" x14ac:dyDescent="0.3">
      <c r="A48" s="9" t="s">
        <v>136</v>
      </c>
      <c r="B48" s="98" t="s">
        <v>19</v>
      </c>
      <c r="C48" s="89">
        <v>4.2</v>
      </c>
      <c r="D48" s="89">
        <v>3.5</v>
      </c>
      <c r="E48" s="89">
        <v>4.05</v>
      </c>
      <c r="F48" s="91">
        <f t="shared" ref="F48:F57" si="1">AVERAGE(C48:E48)</f>
        <v>3.9166666666666665</v>
      </c>
    </row>
    <row r="49" spans="1:6" x14ac:dyDescent="0.3">
      <c r="A49" s="65" t="s">
        <v>137</v>
      </c>
      <c r="B49" s="99" t="s">
        <v>19</v>
      </c>
      <c r="C49" s="89">
        <v>1.54</v>
      </c>
      <c r="D49" s="89">
        <v>0.88</v>
      </c>
      <c r="E49" s="89">
        <v>2.8</v>
      </c>
      <c r="F49" s="91">
        <f t="shared" si="1"/>
        <v>1.74</v>
      </c>
    </row>
    <row r="50" spans="1:6" x14ac:dyDescent="0.3">
      <c r="A50" s="66" t="s">
        <v>138</v>
      </c>
      <c r="B50" s="99" t="s">
        <v>19</v>
      </c>
      <c r="C50" s="89">
        <v>2.04</v>
      </c>
      <c r="D50" s="89">
        <v>3.84</v>
      </c>
      <c r="E50" s="89">
        <v>4.2</v>
      </c>
      <c r="F50" s="91">
        <f t="shared" si="1"/>
        <v>3.36</v>
      </c>
    </row>
    <row r="51" spans="1:6" x14ac:dyDescent="0.3">
      <c r="A51" s="66" t="s">
        <v>139</v>
      </c>
      <c r="B51" s="99" t="s">
        <v>19</v>
      </c>
      <c r="C51" s="89">
        <v>6.82</v>
      </c>
      <c r="D51" s="89">
        <v>11.2</v>
      </c>
      <c r="E51" s="89">
        <v>12.9</v>
      </c>
      <c r="F51" s="91">
        <f t="shared" si="1"/>
        <v>10.306666666666667</v>
      </c>
    </row>
    <row r="52" spans="1:6" x14ac:dyDescent="0.3">
      <c r="A52" s="66" t="s">
        <v>140</v>
      </c>
      <c r="B52" s="99" t="s">
        <v>19</v>
      </c>
      <c r="C52" s="89">
        <v>1.6</v>
      </c>
      <c r="D52" s="89">
        <v>2.64</v>
      </c>
      <c r="E52" s="89">
        <v>4.5</v>
      </c>
      <c r="F52" s="91">
        <f t="shared" si="1"/>
        <v>2.9133333333333336</v>
      </c>
    </row>
    <row r="53" spans="1:6" x14ac:dyDescent="0.3">
      <c r="A53" s="67" t="s">
        <v>141</v>
      </c>
      <c r="B53" s="99" t="s">
        <v>19</v>
      </c>
      <c r="C53" s="89">
        <v>2.31</v>
      </c>
      <c r="D53" s="89">
        <v>6.6</v>
      </c>
      <c r="E53" s="89">
        <v>3.1</v>
      </c>
      <c r="F53" s="91">
        <f t="shared" si="1"/>
        <v>4.003333333333333</v>
      </c>
    </row>
    <row r="54" spans="1:6" x14ac:dyDescent="0.3">
      <c r="A54" s="67" t="s">
        <v>142</v>
      </c>
      <c r="B54" s="99" t="s">
        <v>19</v>
      </c>
      <c r="C54" s="89">
        <v>2.5299999999999998</v>
      </c>
      <c r="D54" s="89">
        <v>2.64</v>
      </c>
      <c r="E54" s="89">
        <v>2.72</v>
      </c>
      <c r="F54" s="91">
        <f t="shared" si="1"/>
        <v>2.6300000000000003</v>
      </c>
    </row>
    <row r="55" spans="1:6" x14ac:dyDescent="0.3">
      <c r="A55" s="67" t="s">
        <v>143</v>
      </c>
      <c r="B55" s="99" t="s">
        <v>19</v>
      </c>
      <c r="C55" s="89">
        <v>2.97</v>
      </c>
      <c r="D55" s="89">
        <v>5.72</v>
      </c>
      <c r="E55" s="89">
        <v>3.4</v>
      </c>
      <c r="F55" s="91">
        <f t="shared" si="1"/>
        <v>4.03</v>
      </c>
    </row>
    <row r="56" spans="1:6" x14ac:dyDescent="0.3">
      <c r="A56" s="68" t="s">
        <v>144</v>
      </c>
      <c r="B56" s="99" t="s">
        <v>19</v>
      </c>
      <c r="C56" s="89">
        <v>0.61</v>
      </c>
      <c r="D56" s="89">
        <v>1.1000000000000001</v>
      </c>
      <c r="E56" s="89">
        <v>0.95</v>
      </c>
      <c r="F56" s="91">
        <f t="shared" si="1"/>
        <v>0.88666666666666671</v>
      </c>
    </row>
    <row r="57" spans="1:6" ht="15" thickBot="1" x14ac:dyDescent="0.35">
      <c r="A57" s="72" t="s">
        <v>145</v>
      </c>
      <c r="B57" s="100" t="s">
        <v>19</v>
      </c>
      <c r="C57" s="90">
        <v>0.5</v>
      </c>
      <c r="D57" s="90">
        <v>0.55000000000000004</v>
      </c>
      <c r="E57" s="90">
        <v>3.4</v>
      </c>
      <c r="F57" s="92">
        <f t="shared" si="1"/>
        <v>1.4833333333333334</v>
      </c>
    </row>
    <row r="59" spans="1:6" ht="15" thickBot="1" x14ac:dyDescent="0.35"/>
    <row r="60" spans="1:6" ht="15" thickBot="1" x14ac:dyDescent="0.35">
      <c r="A60" s="6" t="s">
        <v>146</v>
      </c>
      <c r="B60" s="7" t="s">
        <v>12</v>
      </c>
      <c r="C60" s="7" t="s">
        <v>127</v>
      </c>
      <c r="D60" s="7" t="s">
        <v>128</v>
      </c>
      <c r="E60" s="7" t="s">
        <v>129</v>
      </c>
      <c r="F60" s="8" t="s">
        <v>130</v>
      </c>
    </row>
    <row r="61" spans="1:6" ht="15" thickBot="1" x14ac:dyDescent="0.35">
      <c r="A61" s="102" t="s">
        <v>147</v>
      </c>
      <c r="B61" s="73" t="s">
        <v>19</v>
      </c>
      <c r="C61" s="90">
        <v>169900</v>
      </c>
      <c r="D61" s="90">
        <v>180000</v>
      </c>
      <c r="E61" s="90">
        <v>175000</v>
      </c>
      <c r="F61" s="92">
        <f>AVERAGE(C61:E61)</f>
        <v>174966.66666666666</v>
      </c>
    </row>
    <row r="63" spans="1:6" ht="15" thickBot="1" x14ac:dyDescent="0.35"/>
    <row r="64" spans="1:6" ht="15" thickBot="1" x14ac:dyDescent="0.35">
      <c r="A64" s="93" t="s">
        <v>150</v>
      </c>
      <c r="B64" s="94" t="s">
        <v>12</v>
      </c>
      <c r="C64" s="95" t="s">
        <v>14</v>
      </c>
    </row>
    <row r="65" spans="1:6" x14ac:dyDescent="0.3">
      <c r="A65" s="103" t="s">
        <v>60</v>
      </c>
      <c r="B65" s="171" t="s">
        <v>19</v>
      </c>
      <c r="C65" s="104">
        <v>270.95</v>
      </c>
    </row>
    <row r="66" spans="1:6" x14ac:dyDescent="0.3">
      <c r="A66" s="30" t="s">
        <v>61</v>
      </c>
      <c r="B66" s="76" t="s">
        <v>19</v>
      </c>
      <c r="C66" s="104">
        <f>F61*0.03</f>
        <v>5248.9999999999991</v>
      </c>
    </row>
    <row r="67" spans="1:6" x14ac:dyDescent="0.3">
      <c r="A67" s="30" t="s">
        <v>62</v>
      </c>
      <c r="B67" s="76" t="s">
        <v>19</v>
      </c>
      <c r="C67" s="104">
        <v>8.08</v>
      </c>
    </row>
    <row r="68" spans="1:6" ht="15" thickBot="1" x14ac:dyDescent="0.35">
      <c r="A68" s="84" t="s">
        <v>63</v>
      </c>
      <c r="B68" s="41" t="s">
        <v>19</v>
      </c>
      <c r="C68" s="105">
        <v>5418.2</v>
      </c>
    </row>
    <row r="70" spans="1:6" ht="15" thickBot="1" x14ac:dyDescent="0.35"/>
    <row r="71" spans="1:6" ht="15" thickBot="1" x14ac:dyDescent="0.35">
      <c r="A71" s="48" t="s">
        <v>151</v>
      </c>
      <c r="B71" s="7" t="s">
        <v>12</v>
      </c>
      <c r="C71" s="7" t="s">
        <v>127</v>
      </c>
      <c r="D71" s="7" t="s">
        <v>128</v>
      </c>
      <c r="E71" s="7" t="s">
        <v>129</v>
      </c>
      <c r="F71" s="8" t="s">
        <v>130</v>
      </c>
    </row>
    <row r="72" spans="1:6" x14ac:dyDescent="0.3">
      <c r="A72" s="103" t="s">
        <v>65</v>
      </c>
      <c r="B72" s="40" t="s">
        <v>66</v>
      </c>
      <c r="C72" s="89">
        <v>6.19</v>
      </c>
      <c r="D72" s="89">
        <v>6.39</v>
      </c>
      <c r="E72" s="89">
        <v>6.49</v>
      </c>
      <c r="F72" s="106">
        <f>AVERAGE(C72:E72)</f>
        <v>6.3566666666666665</v>
      </c>
    </row>
    <row r="73" spans="1:6" x14ac:dyDescent="0.3">
      <c r="A73" s="30" t="s">
        <v>152</v>
      </c>
      <c r="B73" s="76" t="s">
        <v>66</v>
      </c>
      <c r="C73" s="89">
        <v>39.9</v>
      </c>
      <c r="D73" s="89">
        <f>435/20</f>
        <v>21.75</v>
      </c>
      <c r="E73" s="89">
        <f>271.08/12</f>
        <v>22.59</v>
      </c>
      <c r="F73" s="91">
        <f>AVERAGE(C73:E73)</f>
        <v>28.08</v>
      </c>
    </row>
    <row r="74" spans="1:6" x14ac:dyDescent="0.3">
      <c r="A74" s="30" t="s">
        <v>70</v>
      </c>
      <c r="B74" s="76" t="s">
        <v>66</v>
      </c>
      <c r="C74" s="89">
        <f>485/20</f>
        <v>24.25</v>
      </c>
      <c r="D74" s="89">
        <f>455/20</f>
        <v>22.75</v>
      </c>
      <c r="E74" s="89">
        <v>38.200000000000003</v>
      </c>
      <c r="F74" s="91">
        <f>AVERAGE(C74:E74)</f>
        <v>28.400000000000002</v>
      </c>
    </row>
    <row r="75" spans="1:6" x14ac:dyDescent="0.3">
      <c r="A75" s="30" t="s">
        <v>71</v>
      </c>
      <c r="B75" s="76" t="s">
        <v>66</v>
      </c>
      <c r="C75" s="89">
        <f>752.34/20</f>
        <v>37.617000000000004</v>
      </c>
      <c r="D75" s="89">
        <f>599.85/20</f>
        <v>29.9925</v>
      </c>
      <c r="E75" s="89">
        <v>30</v>
      </c>
      <c r="F75" s="91">
        <f>AVERAGE(C75:E75)</f>
        <v>32.536499999999997</v>
      </c>
    </row>
    <row r="76" spans="1:6" ht="15" thickBot="1" x14ac:dyDescent="0.35">
      <c r="A76" s="84" t="s">
        <v>72</v>
      </c>
      <c r="B76" s="41" t="s">
        <v>66</v>
      </c>
      <c r="C76" s="90">
        <v>22.5</v>
      </c>
      <c r="D76" s="90">
        <v>48.9</v>
      </c>
      <c r="E76" s="90">
        <v>25.79</v>
      </c>
      <c r="F76" s="92">
        <f>AVERAGE(C76:E76)</f>
        <v>32.396666666666668</v>
      </c>
    </row>
    <row r="78" spans="1:6" ht="15" thickBot="1" x14ac:dyDescent="0.35"/>
    <row r="79" spans="1:6" ht="15" thickBot="1" x14ac:dyDescent="0.35">
      <c r="A79" s="107" t="s">
        <v>153</v>
      </c>
      <c r="B79" s="108" t="s">
        <v>12</v>
      </c>
      <c r="C79" s="7" t="s">
        <v>127</v>
      </c>
      <c r="D79" s="7" t="s">
        <v>128</v>
      </c>
      <c r="E79" s="7" t="s">
        <v>129</v>
      </c>
      <c r="F79" s="8" t="s">
        <v>130</v>
      </c>
    </row>
    <row r="80" spans="1:6" x14ac:dyDescent="0.3">
      <c r="A80" s="109" t="s">
        <v>74</v>
      </c>
      <c r="B80" s="110" t="s">
        <v>19</v>
      </c>
      <c r="C80" s="111">
        <v>46.61</v>
      </c>
      <c r="D80" s="111">
        <v>38.21</v>
      </c>
      <c r="E80" s="111">
        <v>34.19</v>
      </c>
      <c r="F80" s="112">
        <f t="shared" ref="F80:F82" si="2">AVERAGE(C80:E80)</f>
        <v>39.669999999999995</v>
      </c>
    </row>
    <row r="81" spans="1:6" x14ac:dyDescent="0.3">
      <c r="A81" s="56" t="s">
        <v>77</v>
      </c>
      <c r="B81" s="69" t="s">
        <v>78</v>
      </c>
      <c r="C81" s="113">
        <v>1290</v>
      </c>
      <c r="D81" s="113">
        <v>469.9</v>
      </c>
      <c r="E81" s="113">
        <v>580</v>
      </c>
      <c r="F81" s="114">
        <f t="shared" si="2"/>
        <v>779.9666666666667</v>
      </c>
    </row>
    <row r="82" spans="1:6" x14ac:dyDescent="0.3">
      <c r="A82" s="56" t="s">
        <v>79</v>
      </c>
      <c r="B82" s="69" t="s">
        <v>78</v>
      </c>
      <c r="C82" s="113">
        <v>1290</v>
      </c>
      <c r="D82" s="113">
        <v>469.9</v>
      </c>
      <c r="E82" s="113">
        <v>580</v>
      </c>
      <c r="F82" s="114">
        <f t="shared" si="2"/>
        <v>779.9666666666667</v>
      </c>
    </row>
    <row r="84" spans="1:6" ht="15" thickBot="1" x14ac:dyDescent="0.35"/>
    <row r="85" spans="1:6" ht="15" thickBot="1" x14ac:dyDescent="0.35">
      <c r="A85" s="48" t="s">
        <v>154</v>
      </c>
      <c r="B85" s="7" t="s">
        <v>12</v>
      </c>
      <c r="C85" s="7" t="s">
        <v>127</v>
      </c>
      <c r="D85" s="7" t="s">
        <v>128</v>
      </c>
      <c r="E85" s="7" t="s">
        <v>129</v>
      </c>
      <c r="F85" s="8" t="s">
        <v>130</v>
      </c>
    </row>
    <row r="86" spans="1:6" x14ac:dyDescent="0.3">
      <c r="A86" s="57" t="s">
        <v>155</v>
      </c>
      <c r="B86" s="10" t="s">
        <v>19</v>
      </c>
      <c r="C86" s="117">
        <v>1278.8</v>
      </c>
      <c r="D86" s="117">
        <v>2718.13</v>
      </c>
      <c r="E86" s="117">
        <v>1370</v>
      </c>
      <c r="F86" s="112">
        <f>AVERAGE(C86:E86)</f>
        <v>1788.9766666666667</v>
      </c>
    </row>
    <row r="87" spans="1:6" ht="16.95" customHeight="1" x14ac:dyDescent="0.3">
      <c r="A87" s="59" t="s">
        <v>156</v>
      </c>
      <c r="B87" s="76" t="s">
        <v>19</v>
      </c>
      <c r="C87" s="117">
        <v>184.9</v>
      </c>
      <c r="D87" s="117">
        <v>180.69</v>
      </c>
      <c r="E87" s="117">
        <v>118.66</v>
      </c>
      <c r="F87" s="114">
        <f t="shared" ref="F87:F88" si="3">AVERAGE(C87:E87)</f>
        <v>161.41666666666666</v>
      </c>
    </row>
    <row r="88" spans="1:6" ht="15" thickBot="1" x14ac:dyDescent="0.35">
      <c r="A88" s="84" t="s">
        <v>82</v>
      </c>
      <c r="B88" s="41" t="s">
        <v>19</v>
      </c>
      <c r="C88" s="118">
        <v>85.34</v>
      </c>
      <c r="D88" s="118">
        <v>69</v>
      </c>
      <c r="E88" s="118">
        <v>46.9</v>
      </c>
      <c r="F88" s="116">
        <f t="shared" si="3"/>
        <v>67.08</v>
      </c>
    </row>
    <row r="90" spans="1:6" ht="15" thickBot="1" x14ac:dyDescent="0.35"/>
    <row r="91" spans="1:6" ht="15" thickBot="1" x14ac:dyDescent="0.35">
      <c r="A91" s="25" t="s">
        <v>157</v>
      </c>
      <c r="B91" s="7" t="s">
        <v>12</v>
      </c>
      <c r="C91" s="7" t="s">
        <v>127</v>
      </c>
      <c r="D91" s="7" t="s">
        <v>128</v>
      </c>
      <c r="E91" s="7" t="s">
        <v>129</v>
      </c>
      <c r="F91" s="8" t="s">
        <v>130</v>
      </c>
    </row>
    <row r="92" spans="1:6" x14ac:dyDescent="0.3">
      <c r="A92" s="26" t="s">
        <v>44</v>
      </c>
      <c r="B92" s="76" t="s">
        <v>19</v>
      </c>
      <c r="C92" s="117">
        <v>24.86</v>
      </c>
      <c r="D92" s="117">
        <v>17.989999999999998</v>
      </c>
      <c r="E92" s="117">
        <v>26.99</v>
      </c>
      <c r="F92" s="114">
        <f>AVERAGE(C92:E92)</f>
        <v>23.279999999999998</v>
      </c>
    </row>
    <row r="93" spans="1:6" x14ac:dyDescent="0.3">
      <c r="A93" s="29" t="s">
        <v>161</v>
      </c>
      <c r="B93" s="76" t="s">
        <v>19</v>
      </c>
      <c r="C93" s="117">
        <v>259.89999999999998</v>
      </c>
      <c r="D93" s="117">
        <v>229.9</v>
      </c>
      <c r="E93" s="117">
        <v>499.9</v>
      </c>
      <c r="F93" s="114">
        <f t="shared" ref="F93:F96" si="4">AVERAGE(C93:E93)</f>
        <v>329.9</v>
      </c>
    </row>
    <row r="94" spans="1:6" x14ac:dyDescent="0.3">
      <c r="A94" s="30" t="s">
        <v>46</v>
      </c>
      <c r="B94" s="76" t="s">
        <v>19</v>
      </c>
      <c r="C94" s="117">
        <v>31.4</v>
      </c>
      <c r="D94" s="117">
        <v>32.79</v>
      </c>
      <c r="E94" s="117">
        <v>47.2</v>
      </c>
      <c r="F94" s="114">
        <f t="shared" si="4"/>
        <v>37.130000000000003</v>
      </c>
    </row>
    <row r="95" spans="1:6" x14ac:dyDescent="0.3">
      <c r="A95" s="31" t="s">
        <v>47</v>
      </c>
      <c r="B95" s="76" t="s">
        <v>19</v>
      </c>
      <c r="C95" s="117">
        <v>27.22</v>
      </c>
      <c r="D95" s="117">
        <v>10.9</v>
      </c>
      <c r="E95" s="117">
        <v>15</v>
      </c>
      <c r="F95" s="114">
        <f t="shared" si="4"/>
        <v>17.706666666666667</v>
      </c>
    </row>
    <row r="96" spans="1:6" x14ac:dyDescent="0.3">
      <c r="A96" s="31" t="s">
        <v>48</v>
      </c>
      <c r="B96" s="76" t="s">
        <v>19</v>
      </c>
      <c r="C96" s="117">
        <v>29.57</v>
      </c>
      <c r="D96" s="117">
        <v>17.899999999999999</v>
      </c>
      <c r="E96" s="117">
        <v>8.9</v>
      </c>
      <c r="F96" s="114">
        <f t="shared" si="4"/>
        <v>18.79</v>
      </c>
    </row>
    <row r="97" spans="1:6" x14ac:dyDescent="0.3">
      <c r="A97" s="34" t="s">
        <v>91</v>
      </c>
      <c r="B97" s="76" t="s">
        <v>19</v>
      </c>
      <c r="C97" s="117">
        <v>118.99</v>
      </c>
      <c r="D97" s="117">
        <v>369</v>
      </c>
      <c r="E97" s="117">
        <v>369.51</v>
      </c>
      <c r="F97" s="114">
        <f t="shared" ref="F97:F110" si="5">AVERAGE(C97:E97)</f>
        <v>285.83333333333331</v>
      </c>
    </row>
    <row r="98" spans="1:6" x14ac:dyDescent="0.3">
      <c r="A98" s="34" t="s">
        <v>92</v>
      </c>
      <c r="B98" s="76" t="s">
        <v>19</v>
      </c>
      <c r="C98" s="117">
        <v>75.040000000000006</v>
      </c>
      <c r="D98" s="117">
        <v>72.900000000000006</v>
      </c>
      <c r="E98" s="117">
        <v>41.9</v>
      </c>
      <c r="F98" s="114">
        <f t="shared" si="5"/>
        <v>63.28</v>
      </c>
    </row>
    <row r="99" spans="1:6" x14ac:dyDescent="0.3">
      <c r="A99" s="34" t="s">
        <v>93</v>
      </c>
      <c r="B99" s="76" t="s">
        <v>19</v>
      </c>
      <c r="C99" s="117">
        <v>37.75</v>
      </c>
      <c r="D99" s="117">
        <v>44</v>
      </c>
      <c r="E99" s="117">
        <v>52.43</v>
      </c>
      <c r="F99" s="114">
        <f t="shared" si="5"/>
        <v>44.726666666666667</v>
      </c>
    </row>
    <row r="100" spans="1:6" x14ac:dyDescent="0.3">
      <c r="A100" s="34" t="s">
        <v>94</v>
      </c>
      <c r="B100" s="76" t="s">
        <v>19</v>
      </c>
      <c r="C100" s="117">
        <v>25.12</v>
      </c>
      <c r="D100" s="117">
        <v>24.9</v>
      </c>
      <c r="E100" s="117">
        <v>49.9</v>
      </c>
      <c r="F100" s="114">
        <f t="shared" si="5"/>
        <v>33.306666666666665</v>
      </c>
    </row>
    <row r="101" spans="1:6" x14ac:dyDescent="0.3">
      <c r="A101" s="34" t="s">
        <v>95</v>
      </c>
      <c r="B101" s="76" t="s">
        <v>19</v>
      </c>
      <c r="C101" s="117">
        <v>899.1</v>
      </c>
      <c r="D101" s="117">
        <v>1099.9000000000001</v>
      </c>
      <c r="E101" s="117">
        <v>1681.83</v>
      </c>
      <c r="F101" s="114">
        <f t="shared" si="5"/>
        <v>1226.9433333333334</v>
      </c>
    </row>
    <row r="102" spans="1:6" x14ac:dyDescent="0.3">
      <c r="A102" s="34" t="s">
        <v>158</v>
      </c>
      <c r="B102" s="76" t="s">
        <v>19</v>
      </c>
      <c r="C102" s="117">
        <v>3766</v>
      </c>
      <c r="D102" s="117">
        <v>3023.9</v>
      </c>
      <c r="E102" s="117">
        <v>3599</v>
      </c>
      <c r="F102" s="114">
        <f t="shared" si="5"/>
        <v>3462.9666666666667</v>
      </c>
    </row>
    <row r="103" spans="1:6" x14ac:dyDescent="0.3">
      <c r="A103" s="34" t="s">
        <v>97</v>
      </c>
      <c r="B103" s="76" t="s">
        <v>19</v>
      </c>
      <c r="C103" s="117">
        <v>53.9</v>
      </c>
      <c r="D103" s="117">
        <v>37.700000000000003</v>
      </c>
      <c r="E103" s="117">
        <v>32.909999999999997</v>
      </c>
      <c r="F103" s="114">
        <f t="shared" si="5"/>
        <v>41.50333333333333</v>
      </c>
    </row>
    <row r="104" spans="1:6" x14ac:dyDescent="0.3">
      <c r="A104" s="34" t="s">
        <v>98</v>
      </c>
      <c r="B104" s="76" t="s">
        <v>19</v>
      </c>
      <c r="C104" s="117">
        <v>115.99</v>
      </c>
      <c r="D104" s="117">
        <v>51.29</v>
      </c>
      <c r="E104" s="117">
        <v>37.35</v>
      </c>
      <c r="F104" s="114">
        <f t="shared" si="5"/>
        <v>68.209999999999994</v>
      </c>
    </row>
    <row r="105" spans="1:6" x14ac:dyDescent="0.3">
      <c r="A105" s="34" t="s">
        <v>159</v>
      </c>
      <c r="B105" s="76" t="s">
        <v>19</v>
      </c>
      <c r="C105" s="117">
        <v>570.35</v>
      </c>
      <c r="D105" s="117">
        <v>1099</v>
      </c>
      <c r="E105" s="117">
        <v>1625.18</v>
      </c>
      <c r="F105" s="114">
        <f t="shared" si="5"/>
        <v>1098.1766666666665</v>
      </c>
    </row>
    <row r="106" spans="1:6" x14ac:dyDescent="0.3">
      <c r="A106" s="34" t="s">
        <v>100</v>
      </c>
      <c r="B106" s="76" t="s">
        <v>19</v>
      </c>
      <c r="C106" s="117">
        <v>20.329999999999998</v>
      </c>
      <c r="D106" s="117">
        <v>24.86</v>
      </c>
      <c r="E106" s="117">
        <v>19.899999999999999</v>
      </c>
      <c r="F106" s="114">
        <f t="shared" si="5"/>
        <v>21.696666666666669</v>
      </c>
    </row>
    <row r="107" spans="1:6" x14ac:dyDescent="0.3">
      <c r="A107" s="34" t="s">
        <v>101</v>
      </c>
      <c r="B107" s="76" t="s">
        <v>19</v>
      </c>
      <c r="C107" s="117">
        <v>1320</v>
      </c>
      <c r="D107" s="117">
        <v>1900</v>
      </c>
      <c r="E107" s="117">
        <v>798</v>
      </c>
      <c r="F107" s="114">
        <f t="shared" si="5"/>
        <v>1339.3333333333333</v>
      </c>
    </row>
    <row r="108" spans="1:6" x14ac:dyDescent="0.3">
      <c r="A108" s="34" t="s">
        <v>160</v>
      </c>
      <c r="B108" s="76" t="s">
        <v>19</v>
      </c>
      <c r="C108" s="117">
        <v>1039.5</v>
      </c>
      <c r="D108" s="117">
        <v>1499.9</v>
      </c>
      <c r="E108" s="117">
        <v>1430.3</v>
      </c>
      <c r="F108" s="114">
        <f t="shared" si="5"/>
        <v>1323.2333333333333</v>
      </c>
    </row>
    <row r="109" spans="1:6" x14ac:dyDescent="0.3">
      <c r="A109" s="34" t="s">
        <v>103</v>
      </c>
      <c r="B109" s="76" t="s">
        <v>19</v>
      </c>
      <c r="C109" s="117">
        <v>27.22</v>
      </c>
      <c r="D109" s="117">
        <v>10.9</v>
      </c>
      <c r="E109" s="117">
        <v>15</v>
      </c>
      <c r="F109" s="114">
        <f t="shared" si="5"/>
        <v>17.706666666666667</v>
      </c>
    </row>
    <row r="110" spans="1:6" x14ac:dyDescent="0.3">
      <c r="A110" s="34" t="s">
        <v>89</v>
      </c>
      <c r="B110" s="76" t="s">
        <v>19</v>
      </c>
      <c r="C110" s="117">
        <v>7.08</v>
      </c>
      <c r="D110" s="117">
        <v>5.61</v>
      </c>
      <c r="E110" s="117">
        <v>17.5</v>
      </c>
      <c r="F110" s="114">
        <f t="shared" si="5"/>
        <v>10.063333333333334</v>
      </c>
    </row>
    <row r="111" spans="1:6" ht="15" thickBot="1" x14ac:dyDescent="0.35">
      <c r="A111" s="42" t="s">
        <v>90</v>
      </c>
      <c r="B111" s="41" t="s">
        <v>19</v>
      </c>
      <c r="C111" s="118">
        <v>29.69</v>
      </c>
      <c r="D111" s="118">
        <v>26.5</v>
      </c>
      <c r="E111" s="118">
        <v>24.21</v>
      </c>
      <c r="F111" s="116">
        <f t="shared" ref="F111" si="6">AVERAGE(C111:E111)</f>
        <v>26.8</v>
      </c>
    </row>
    <row r="113" spans="1:6" ht="15" thickBot="1" x14ac:dyDescent="0.35"/>
    <row r="114" spans="1:6" ht="15" thickBot="1" x14ac:dyDescent="0.35">
      <c r="A114" s="6" t="s">
        <v>162</v>
      </c>
      <c r="B114" s="213" t="s">
        <v>12</v>
      </c>
      <c r="C114" s="213" t="s">
        <v>127</v>
      </c>
      <c r="D114" s="213" t="s">
        <v>128</v>
      </c>
      <c r="E114" s="213" t="s">
        <v>129</v>
      </c>
      <c r="F114" s="8" t="s">
        <v>130</v>
      </c>
    </row>
    <row r="115" spans="1:6" x14ac:dyDescent="0.3">
      <c r="A115" s="214" t="s">
        <v>215</v>
      </c>
      <c r="B115" s="27" t="s">
        <v>179</v>
      </c>
      <c r="C115" s="215">
        <v>25.5</v>
      </c>
      <c r="D115" s="215">
        <v>40.4</v>
      </c>
      <c r="E115" s="215">
        <v>34.9</v>
      </c>
      <c r="F115" s="112">
        <f t="shared" ref="F115:F116" si="7">AVERAGE(C115:E115)</f>
        <v>33.6</v>
      </c>
    </row>
    <row r="116" spans="1:6" ht="15" thickBot="1" x14ac:dyDescent="0.35">
      <c r="A116" s="115" t="s">
        <v>216</v>
      </c>
      <c r="B116" s="75" t="s">
        <v>217</v>
      </c>
      <c r="C116" s="90">
        <v>31.26</v>
      </c>
      <c r="D116" s="90">
        <v>36.76</v>
      </c>
      <c r="E116" s="90">
        <v>39</v>
      </c>
      <c r="F116" s="92">
        <f t="shared" si="7"/>
        <v>35.673333333333332</v>
      </c>
    </row>
    <row r="117" spans="1:6" ht="15" thickBot="1" x14ac:dyDescent="0.35"/>
    <row r="118" spans="1:6" ht="15" thickBot="1" x14ac:dyDescent="0.35">
      <c r="A118" s="25" t="s">
        <v>163</v>
      </c>
      <c r="B118" s="7" t="s">
        <v>12</v>
      </c>
      <c r="C118" s="7" t="s">
        <v>127</v>
      </c>
      <c r="D118" s="7" t="s">
        <v>128</v>
      </c>
      <c r="E118" s="7" t="s">
        <v>129</v>
      </c>
      <c r="F118" s="8" t="s">
        <v>130</v>
      </c>
    </row>
    <row r="119" spans="1:6" x14ac:dyDescent="0.3">
      <c r="A119" s="56" t="s">
        <v>75</v>
      </c>
      <c r="B119" s="76" t="s">
        <v>19</v>
      </c>
      <c r="C119" s="117">
        <v>36.5</v>
      </c>
      <c r="D119" s="117">
        <v>35</v>
      </c>
      <c r="E119" s="117">
        <v>36.299999999999997</v>
      </c>
      <c r="F119" s="114">
        <f>AVERAGE(C119:E119)</f>
        <v>35.93333333333333</v>
      </c>
    </row>
    <row r="120" spans="1:6" x14ac:dyDescent="0.3">
      <c r="A120" s="56" t="s">
        <v>76</v>
      </c>
      <c r="B120" s="76" t="s">
        <v>19</v>
      </c>
      <c r="C120" s="117">
        <v>161</v>
      </c>
      <c r="D120" s="117">
        <v>155</v>
      </c>
      <c r="E120" s="117">
        <v>159</v>
      </c>
      <c r="F120" s="114">
        <f t="shared" ref="F120:F121" si="8">AVERAGE(C120:E120)</f>
        <v>158.33333333333334</v>
      </c>
    </row>
    <row r="121" spans="1:6" ht="15" thickBot="1" x14ac:dyDescent="0.35">
      <c r="A121" s="119" t="s">
        <v>121</v>
      </c>
      <c r="B121" s="41" t="s">
        <v>19</v>
      </c>
      <c r="C121" s="118">
        <v>148</v>
      </c>
      <c r="D121" s="118">
        <v>150</v>
      </c>
      <c r="E121" s="118">
        <v>152</v>
      </c>
      <c r="F121" s="116">
        <f t="shared" si="8"/>
        <v>150</v>
      </c>
    </row>
  </sheetData>
  <mergeCells count="12">
    <mergeCell ref="C14:F14"/>
    <mergeCell ref="A1:E1"/>
    <mergeCell ref="C12:F12"/>
    <mergeCell ref="C13:F13"/>
    <mergeCell ref="C4:F4"/>
    <mergeCell ref="C5:F5"/>
    <mergeCell ref="C7:F7"/>
    <mergeCell ref="C8:F8"/>
    <mergeCell ref="C9:F9"/>
    <mergeCell ref="C10:F10"/>
    <mergeCell ref="C6:F6"/>
    <mergeCell ref="C11:F11"/>
  </mergeCells>
  <hyperlinks>
    <hyperlink ref="C9" r:id="rId1" location="listaSalarial"/>
    <hyperlink ref="C5" r:id="rId2"/>
    <hyperlink ref="C6" r:id="rId3"/>
    <hyperlink ref="C7" r:id="rId4"/>
    <hyperlink ref="C8" r:id="rId5"/>
    <hyperlink ref="C11" r:id="rId6"/>
    <hyperlink ref="C12" r:id="rId7"/>
    <hyperlink ref="C14" r:id="rId8"/>
    <hyperlink ref="C10" r:id="rId9" location="listaSalarial"/>
    <hyperlink ref="C13" r:id="rId10" location="listaSalarial"/>
  </hyperlinks>
  <pageMargins left="0.511811024" right="0.511811024" top="0.78740157499999996" bottom="0.78740157499999996" header="0.31496062000000002" footer="0.31496062000000002"/>
  <pageSetup paperSize="9" orientation="portrait" verticalDpi="30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LEGENDA</vt:lpstr>
      <vt:lpstr>CUSTOS</vt:lpstr>
      <vt:lpstr>BDI</vt:lpstr>
      <vt:lpstr>ORÇAMENTOS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Cristina Trentin</dc:creator>
  <cp:lastModifiedBy>Andreia Cristina Trentin</cp:lastModifiedBy>
  <cp:lastPrinted>2022-12-16T11:36:10Z</cp:lastPrinted>
  <dcterms:created xsi:type="dcterms:W3CDTF">2022-12-01T17:15:18Z</dcterms:created>
  <dcterms:modified xsi:type="dcterms:W3CDTF">2023-04-11T00:15:41Z</dcterms:modified>
</cp:coreProperties>
</file>